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40" windowHeight="6585" activeTab="0"/>
  </bookViews>
  <sheets>
    <sheet name="MASTER" sheetId="1" r:id="rId1"/>
    <sheet name="ARREAR" sheetId="2" r:id="rId2"/>
    <sheet name="Manual Data" sheetId="3" state="hidden" r:id="rId3"/>
    <sheet name="DATA" sheetId="4" state="veryHidden" r:id="rId4"/>
  </sheets>
  <definedNames>
    <definedName name="BP">IF('MASTER'!IL1+IF('Manual Data'!IJ1='MASTER'!$E$5,'Manual Data'!IV65536+'Manual Data'!IV1,'Manual Data'!IV65536)&gt;'Manual Data'!D1,LOOKUP('MASTER'!IL1+IF('Manual Data'!IJ1='MASTER'!$E$5,'Manual Data'!IV65536+'Manual Data'!IV1,'Manual Data'!IV65536),'Manual Data'!D1:S1)+'Manual Data'!IV1,'Manual Data'!D1)</definedName>
    <definedName name="BPN1">ROUNDUP(ROUND('MASTER'!$U1*103%-0.01,0),-1)</definedName>
    <definedName name="BPN12">ROUNDUP(ROUND(BPN1*103%-0.01,0),-1)</definedName>
    <definedName name="BPN2">ROUNDUP(ROUND('MASTER'!$V1*103%-0.01,0),-1)</definedName>
    <definedName name="BPN22">ROUNDUP(ROUND(BPN2*103%-0.01,0),-1)</definedName>
    <definedName name="BUN1">ROUNDDOWN(((('MASTER'!$E$4-OBPL1)/INC1)/2),0)</definedName>
    <definedName name="BUNF1">IF(BUN1=0,0,INDEX('MASTER'!$AW$12:$AX$37,MATCH(BUN1,'MASTER'!$AW$12:$AW$37,0),2))</definedName>
    <definedName name="CB">INDEX('MASTER'!$AN$12:'MASTER'!$X$22,MATCH('Manual Data'!$M1+OI,'MASTER'!$AW$12:'MASTER'!$AW$22,0),13)</definedName>
    <definedName name="CON1">'DATA'!$B$13:$G$13</definedName>
    <definedName name="HPS" localSheetId="0">'MASTER'!$W$2</definedName>
    <definedName name="INC1">INDEX('MASTER'!$AN$12:$AV$22,MATCH('MASTER'!$E$3,'MASTER'!$AN$12:$AN$22,0),6)</definedName>
    <definedName name="INCN">INDEX('MASTER'!$AN$12:'MASTER'!$AW$22,MATCH('Manual Data'!$M1+OI,'MASTER'!$AW$12:'MASTER'!$AW$22,0),6)</definedName>
    <definedName name="NBPH1">INDEX('MASTER'!$AN$12:$AV$22,MATCH('MASTER'!$E$3,'MASTER'!$AN$12:$AN$22,0),9)</definedName>
    <definedName name="NBPL1">INDEX('MASTER'!$AN$12:$AV$22,MATCH('MASTER'!$E$3,'MASTER'!$AN$12:$AN$22,0),8)</definedName>
    <definedName name="OBPH1">INDEX('MASTER'!$AN$12:$AV$22,MATCH('MASTER'!$E$3,'MASTER'!$AN$12:$AN$22,0),5)</definedName>
    <definedName name="OBPL1">INDEX('MASTER'!$AN$12:$AV$22,MATCH('MASTER'!$E$3,'MASTER'!$AN$12:$AN$22,0),4)</definedName>
    <definedName name="OI">INDEX('MASTER'!$AN$12:'MASTER'!$AW$22,MATCH('MASTER'!$F$6,'MASTER'!$AO$12:'MASTER'!$AO$22,0),10)</definedName>
    <definedName name="_xlnm.Print_Area" localSheetId="1">'ARREAR'!$C$1:$J$48</definedName>
    <definedName name="_xlnm.Print_Area" localSheetId="2">'Manual Data'!$A$8:$L$90</definedName>
    <definedName name="_xlnm.Print_Area" localSheetId="0">'MASTER'!$A$1:$S$90</definedName>
    <definedName name="_xlnm.Print_Titles" localSheetId="0">'MASTER'!$10:$11</definedName>
    <definedName name="RR1">'DATA'!$B$1:$X$1</definedName>
    <definedName name="RR10">'DATA'!$B$9:$M$9</definedName>
    <definedName name="RR11">'DATA'!$B$10:$M$10</definedName>
    <definedName name="RR12">'DATA'!$B$11:$J$11</definedName>
    <definedName name="RR2">'DATA'!$B$2:$W$2</definedName>
    <definedName name="RR3">'DATA'!$B$3:$T$3</definedName>
    <definedName name="RR4">'DATA'!$B$4:$Q$4</definedName>
    <definedName name="RR5">'DATA'!$B$5:$Q$5</definedName>
    <definedName name="RR6">'DATA'!$B$6:$Q$6</definedName>
    <definedName name="RR7">'DATA'!$B$7:$Q$7</definedName>
    <definedName name="RR9">'DATA'!$B$8:$M$8</definedName>
    <definedName name="UPIN">IF('Manual Data'!IV1&gt;0,INDEX('MASTER'!$AN$12:'MASTER'!$AW$22,MATCH('Manual Data'!$M1+OI,'MASTER'!$AW$12:'MASTER'!$AW$22,0),6),0)</definedName>
    <definedName name="Z_7126EEA4_EFC8_4FCF_A317_0CE38099B7F5_.wvu.Cols" localSheetId="0" hidden="1">'MASTER'!$AN:$AY</definedName>
  </definedNames>
  <calcPr fullCalcOnLoad="1"/>
</workbook>
</file>

<file path=xl/comments1.xml><?xml version="1.0" encoding="utf-8"?>
<comments xmlns="http://schemas.openxmlformats.org/spreadsheetml/2006/main">
  <authors>
    <author>xyz</author>
    <author>MKM</author>
    <author>M.K.Morodia</author>
  </authors>
  <commentList>
    <comment ref="E2" authorId="0">
      <text>
        <r>
          <rPr>
            <b/>
            <sz val="8"/>
            <rFont val="Tahoma"/>
            <family val="2"/>
          </rPr>
          <t>Before Start</t>
        </r>
        <r>
          <rPr>
            <sz val="8"/>
            <rFont val="Tahoma"/>
            <family val="2"/>
          </rPr>
          <t xml:space="preserve"> pl. ensure that every data on 'Manual Data' Sheet is ONE(1).
</t>
        </r>
        <r>
          <rPr>
            <b/>
            <sz val="8"/>
            <rFont val="Tahoma"/>
            <family val="2"/>
          </rPr>
          <t>How to calculate:-</t>
        </r>
        <r>
          <rPr>
            <sz val="8"/>
            <rFont val="Tahoma"/>
            <family val="2"/>
          </rPr>
          <t xml:space="preserve"> 
</t>
        </r>
        <r>
          <rPr>
            <b/>
            <sz val="8"/>
            <rFont val="Tahoma"/>
            <family val="2"/>
          </rPr>
          <t>A.</t>
        </r>
        <r>
          <rPr>
            <sz val="8"/>
            <rFont val="Tahoma"/>
            <family val="2"/>
          </rPr>
          <t xml:space="preserve"> Just select through drop down list of yello cells in sheet '</t>
        </r>
        <r>
          <rPr>
            <b/>
            <sz val="8"/>
            <rFont val="Tahoma"/>
            <family val="2"/>
          </rPr>
          <t>MASTER</t>
        </r>
        <r>
          <rPr>
            <sz val="8"/>
            <rFont val="Tahoma"/>
            <family val="2"/>
          </rPr>
          <t xml:space="preserve">'.
</t>
        </r>
        <r>
          <rPr>
            <b/>
            <sz val="8"/>
            <rFont val="Tahoma"/>
            <family val="2"/>
          </rPr>
          <t xml:space="preserve">B. </t>
        </r>
        <r>
          <rPr>
            <sz val="8"/>
            <rFont val="Tahoma"/>
            <family val="2"/>
          </rPr>
          <t>Arrear due will be appeared in Sheet '</t>
        </r>
        <r>
          <rPr>
            <b/>
            <sz val="8"/>
            <rFont val="Tahoma"/>
            <family val="2"/>
          </rPr>
          <t>ARREAR</t>
        </r>
        <r>
          <rPr>
            <sz val="8"/>
            <rFont val="Tahoma"/>
            <family val="2"/>
          </rPr>
          <t xml:space="preserve">' with Loss Gain information.
</t>
        </r>
        <r>
          <rPr>
            <b/>
            <sz val="8"/>
            <rFont val="Tahoma"/>
            <family val="2"/>
          </rPr>
          <t>C.</t>
        </r>
        <r>
          <rPr>
            <sz val="8"/>
            <rFont val="Tahoma"/>
            <family val="2"/>
          </rPr>
          <t xml:space="preserve"> Enter 'Y' in respective month(Implimenting) of the promotion in 'C' column of </t>
        </r>
        <r>
          <rPr>
            <b/>
            <sz val="8"/>
            <rFont val="Tahoma"/>
            <family val="2"/>
          </rPr>
          <t>'Manual Data'</t>
        </r>
        <r>
          <rPr>
            <sz val="8"/>
            <rFont val="Tahoma"/>
            <family val="2"/>
          </rPr>
          <t xml:space="preserve"> Sheet for any Promotion / IDA Upgradation during the period. In some extra ordinary case the value of Drawn/Due Basic pay can also be modified via Column 'C'. Data entered in a month will automatically apply to next months of Main Sheet. HRA/TA can also be modified via</t>
        </r>
        <r>
          <rPr>
            <b/>
            <sz val="8"/>
            <rFont val="Tahoma"/>
            <family val="2"/>
          </rPr>
          <t xml:space="preserve"> 'Manual Data' </t>
        </r>
        <r>
          <rPr>
            <sz val="8"/>
            <rFont val="Tahoma"/>
            <family val="2"/>
          </rPr>
          <t>sheet.</t>
        </r>
        <r>
          <rPr>
            <b/>
            <sz val="8"/>
            <rFont val="Tahoma"/>
            <family val="2"/>
          </rPr>
          <t xml:space="preserve"> 
</t>
        </r>
        <r>
          <rPr>
            <sz val="8"/>
            <rFont val="Tahoma"/>
            <family val="2"/>
          </rPr>
          <t xml:space="preserve">
</t>
        </r>
        <r>
          <rPr>
            <b/>
            <sz val="10"/>
            <rFont val="Tahoma"/>
            <family val="2"/>
          </rPr>
          <t>Simple Way to Findout New Basic: Multiply present Basic with 1.05595 and round it up to 10th</t>
        </r>
      </text>
    </comment>
    <comment ref="E3" authorId="1">
      <text>
        <r>
          <rPr>
            <b/>
            <u val="single"/>
            <sz val="12"/>
            <rFont val="Tahoma"/>
            <family val="2"/>
          </rPr>
          <t>This calculator is frequently updated for noticed corrections.</t>
        </r>
        <r>
          <rPr>
            <b/>
            <sz val="12"/>
            <rFont val="Tahoma"/>
            <family val="2"/>
          </rPr>
          <t xml:space="preserve"> 
Therefore, Always download Fresh Calculator from the web Site.</t>
        </r>
      </text>
    </comment>
    <comment ref="I7" authorId="1">
      <text>
        <r>
          <rPr>
            <sz val="9"/>
            <rFont val="Tahoma"/>
            <family val="2"/>
          </rPr>
          <t>Pl. Select 'NIL' if no Promotion.</t>
        </r>
      </text>
    </comment>
    <comment ref="J3" authorId="2">
      <text>
        <r>
          <rPr>
            <sz val="9"/>
            <rFont val="Tahoma"/>
            <family val="2"/>
          </rPr>
          <t>Age on Retirement</t>
        </r>
      </text>
    </comment>
    <comment ref="J4" authorId="2">
      <text>
        <r>
          <rPr>
            <sz val="9"/>
            <rFont val="Tahoma"/>
            <family val="2"/>
          </rPr>
          <t>Years of service
Manual entry</t>
        </r>
      </text>
    </comment>
    <comment ref="J5" authorId="2">
      <text>
        <r>
          <rPr>
            <sz val="9"/>
            <rFont val="Tahoma"/>
            <family val="2"/>
          </rPr>
          <t>E/L Balance at time of Retirement. Manual Entry!.</t>
        </r>
      </text>
    </comment>
    <comment ref="E6" authorId="2">
      <text>
        <r>
          <rPr>
            <sz val="9"/>
            <rFont val="Tahoma"/>
            <family val="2"/>
          </rPr>
          <t>Classification of City</t>
        </r>
      </text>
    </comment>
    <comment ref="F7" authorId="2">
      <text>
        <r>
          <rPr>
            <sz val="9"/>
            <rFont val="Tahoma"/>
            <family val="2"/>
          </rPr>
          <t xml:space="preserve">Transport Allwance Applicable
</t>
        </r>
      </text>
    </comment>
    <comment ref="E7" authorId="2">
      <text>
        <r>
          <rPr>
            <sz val="9"/>
            <rFont val="Tahoma"/>
            <family val="2"/>
          </rPr>
          <t xml:space="preserve">Residencial Accomodation Occupied
</t>
        </r>
      </text>
    </comment>
    <comment ref="I8" authorId="1">
      <text>
        <r>
          <rPr>
            <sz val="9"/>
            <rFont val="Tahoma"/>
            <family val="2"/>
          </rPr>
          <t>Pl. Select 'NIL' if no Promotion.</t>
        </r>
      </text>
    </comment>
    <comment ref="J6" authorId="1">
      <text>
        <r>
          <rPr>
            <sz val="9"/>
            <rFont val="Tahoma"/>
            <family val="2"/>
          </rPr>
          <t>Commutation Value to be selected.</t>
        </r>
      </text>
    </comment>
    <comment ref="J7" authorId="1">
      <text>
        <r>
          <rPr>
            <sz val="9"/>
            <rFont val="Tahoma"/>
            <family val="2"/>
          </rPr>
          <t>Year of 1st promotion, if any.</t>
        </r>
      </text>
    </comment>
    <comment ref="J8" authorId="1">
      <text>
        <r>
          <rPr>
            <sz val="9"/>
            <rFont val="Tahoma"/>
            <family val="2"/>
          </rPr>
          <t>Year of 2nd promotion, if any.</t>
        </r>
      </text>
    </comment>
    <comment ref="E5" authorId="1">
      <text>
        <r>
          <rPr>
            <sz val="9"/>
            <rFont val="Tahoma"/>
            <family val="2"/>
          </rPr>
          <t>DNI as on 01-01-2007</t>
        </r>
      </text>
    </comment>
    <comment ref="E4" authorId="1">
      <text>
        <r>
          <rPr>
            <b/>
            <sz val="9"/>
            <rFont val="Tahoma"/>
            <family val="2"/>
          </rPr>
          <t>Pl. Select Basic Pay in Old Scale.</t>
        </r>
        <r>
          <rPr>
            <sz val="9"/>
            <rFont val="Tahoma"/>
            <family val="2"/>
          </rPr>
          <t xml:space="preserve"> 
In case If DNI month is </t>
        </r>
        <r>
          <rPr>
            <b/>
            <sz val="9"/>
            <rFont val="Tahoma"/>
            <family val="2"/>
          </rPr>
          <t>January</t>
        </r>
        <r>
          <rPr>
            <sz val="9"/>
            <rFont val="Tahoma"/>
            <family val="2"/>
          </rPr>
          <t xml:space="preserve"> the Basic pay before Increament must be selected.</t>
        </r>
      </text>
    </comment>
    <comment ref="M8" authorId="1">
      <text>
        <r>
          <rPr>
            <sz val="9"/>
            <rFont val="Tahoma"/>
            <family val="2"/>
          </rPr>
          <t>Pl. Select 'NIL' if no Promotion.</t>
        </r>
      </text>
    </comment>
    <comment ref="N8" authorId="1">
      <text>
        <r>
          <rPr>
            <sz val="9"/>
            <rFont val="Tahoma"/>
            <family val="2"/>
          </rPr>
          <t>Year of 2nd promotion, if any.</t>
        </r>
      </text>
    </comment>
  </commentList>
</comments>
</file>

<file path=xl/sharedStrings.xml><?xml version="1.0" encoding="utf-8"?>
<sst xmlns="http://schemas.openxmlformats.org/spreadsheetml/2006/main" count="601" uniqueCount="169">
  <si>
    <t>Oct</t>
  </si>
  <si>
    <t>HRA</t>
  </si>
  <si>
    <t>DRAWN</t>
  </si>
  <si>
    <t>DUE</t>
  </si>
  <si>
    <t>MONTH</t>
  </si>
  <si>
    <t>Yr</t>
  </si>
  <si>
    <t>DA</t>
  </si>
  <si>
    <t>TA</t>
  </si>
  <si>
    <t>PA</t>
  </si>
  <si>
    <t>DIFF</t>
  </si>
  <si>
    <t>Nov</t>
  </si>
  <si>
    <t>Dec</t>
  </si>
  <si>
    <t>Jan</t>
  </si>
  <si>
    <t>Feb</t>
  </si>
  <si>
    <t>Mar</t>
  </si>
  <si>
    <t>Apr</t>
  </si>
  <si>
    <t>May</t>
  </si>
  <si>
    <t>Jun</t>
  </si>
  <si>
    <t>Jul</t>
  </si>
  <si>
    <t>Aug</t>
  </si>
  <si>
    <t>Sep</t>
  </si>
  <si>
    <t>07</t>
  </si>
  <si>
    <t>TOTAL</t>
  </si>
  <si>
    <t>08</t>
  </si>
  <si>
    <t>09</t>
  </si>
  <si>
    <t>CCA</t>
  </si>
  <si>
    <t>B.PAY</t>
  </si>
  <si>
    <t>HRA @</t>
  </si>
  <si>
    <t>Name of Executive</t>
  </si>
  <si>
    <t>DIA</t>
  </si>
  <si>
    <t>B'PAY</t>
  </si>
  <si>
    <t>Sr.SDE/Sr.AO</t>
  </si>
  <si>
    <t>Yes</t>
  </si>
  <si>
    <t>E1A</t>
  </si>
  <si>
    <t>E2A</t>
  </si>
  <si>
    <t>E3</t>
  </si>
  <si>
    <t>E4</t>
  </si>
  <si>
    <t>E5</t>
  </si>
  <si>
    <t>E6</t>
  </si>
  <si>
    <t>E7</t>
  </si>
  <si>
    <t>E9</t>
  </si>
  <si>
    <t>E9A</t>
  </si>
  <si>
    <t>CMD</t>
  </si>
  <si>
    <t>DIR</t>
  </si>
  <si>
    <t>SDE/AO/AAO</t>
  </si>
  <si>
    <t>JTO/JAO</t>
  </si>
  <si>
    <t>DE/CAO</t>
  </si>
  <si>
    <t>JAG</t>
  </si>
  <si>
    <t>S.JAG</t>
  </si>
  <si>
    <t>JAG(SG)</t>
  </si>
  <si>
    <t>SAG</t>
  </si>
  <si>
    <t>HAG</t>
  </si>
  <si>
    <t>DIRECTOR</t>
  </si>
  <si>
    <t>9850-250-14600</t>
  </si>
  <si>
    <t>11875-300-17275</t>
  </si>
  <si>
    <t>13000-350-18250</t>
  </si>
  <si>
    <t>14500-350-18700</t>
  </si>
  <si>
    <t>16000-400-20800</t>
  </si>
  <si>
    <t>17500-400-22300</t>
  </si>
  <si>
    <t>18500-450-23900</t>
  </si>
  <si>
    <t>23750-600-28550</t>
  </si>
  <si>
    <t>25000-650-30200</t>
  </si>
  <si>
    <t>25750-650-30950</t>
  </si>
  <si>
    <t>27750-750-31500</t>
  </si>
  <si>
    <t>16,400 - 40,500*</t>
  </si>
  <si>
    <t>20,600 - 46,500*</t>
  </si>
  <si>
    <t>24,900 - 50,500</t>
  </si>
  <si>
    <t>29,100 - 54,500</t>
  </si>
  <si>
    <t>32,900 - 58,000</t>
  </si>
  <si>
    <t>36,600 - 62,000</t>
  </si>
  <si>
    <t>43,200 - 66,000</t>
  </si>
  <si>
    <t>62,000 - 80,000</t>
  </si>
  <si>
    <t>62,000 - 80,000*</t>
  </si>
  <si>
    <t>75,000 - 1,00,000</t>
  </si>
  <si>
    <t>80,000 - 1,25,000</t>
  </si>
  <si>
    <t>RR1</t>
  </si>
  <si>
    <t>RR2</t>
  </si>
  <si>
    <t>RR3</t>
  </si>
  <si>
    <t>RR4</t>
  </si>
  <si>
    <t>RR5</t>
  </si>
  <si>
    <t>RR6</t>
  </si>
  <si>
    <t>RR7</t>
  </si>
  <si>
    <t>RR9</t>
  </si>
  <si>
    <t>RR10</t>
  </si>
  <si>
    <t>RR11</t>
  </si>
  <si>
    <t>RR12</t>
  </si>
  <si>
    <t>UC</t>
  </si>
  <si>
    <t>CON1</t>
  </si>
  <si>
    <t>A</t>
  </si>
  <si>
    <t>C</t>
  </si>
  <si>
    <t>HRA Old / New</t>
  </si>
  <si>
    <t>No</t>
  </si>
  <si>
    <t>A-1</t>
  </si>
  <si>
    <t>B-1</t>
  </si>
  <si>
    <t>B-2</t>
  </si>
  <si>
    <t>10</t>
  </si>
  <si>
    <t>11</t>
  </si>
  <si>
    <t>12</t>
  </si>
  <si>
    <t>Note:-</t>
  </si>
  <si>
    <r>
      <t>Note:-</t>
    </r>
    <r>
      <rPr>
        <sz val="9"/>
        <rFont val="Arial"/>
        <family val="2"/>
      </rPr>
      <t xml:space="preserve"> This is a Test calculator &amp; actual calculations may differ. Developer don't take any responsblity of accuracy.  </t>
    </r>
  </si>
  <si>
    <t>B.PAY_O</t>
  </si>
  <si>
    <t>13</t>
  </si>
  <si>
    <t>DRAWN (IDA with 68.8 Fitment)</t>
  </si>
  <si>
    <t>DUE (IDA with 78.2 Fitment)</t>
  </si>
  <si>
    <t>Note:- Default Value of every Cell is '1'</t>
  </si>
  <si>
    <t>No of UPG</t>
  </si>
  <si>
    <t>DNI 
Month</t>
  </si>
  <si>
    <t>Retirement Month</t>
  </si>
  <si>
    <t>F-68.8</t>
  </si>
  <si>
    <t>F-78.2</t>
  </si>
  <si>
    <t>Gratuity</t>
  </si>
  <si>
    <t>Commutation</t>
  </si>
  <si>
    <t>Leave Encash</t>
  </si>
  <si>
    <t>14</t>
  </si>
  <si>
    <t>15</t>
  </si>
  <si>
    <t>16</t>
  </si>
  <si>
    <t>P-68.8</t>
  </si>
  <si>
    <t>P-78.2</t>
  </si>
  <si>
    <t>DA-68.8</t>
  </si>
  <si>
    <t>DA-78.2</t>
  </si>
  <si>
    <t>SUM-68.8</t>
  </si>
  <si>
    <t>SUM-78.2</t>
  </si>
  <si>
    <t>Mth.</t>
  </si>
  <si>
    <t>Yr.</t>
  </si>
  <si>
    <t>Month</t>
  </si>
  <si>
    <t>CALC</t>
  </si>
  <si>
    <t>Manual
68.8 Basic</t>
  </si>
  <si>
    <t>Age</t>
  </si>
  <si>
    <t>Factor</t>
  </si>
  <si>
    <t xml:space="preserve">Pension Calculator on 78.2 Fitment for BSNL Executives' Pensionars </t>
  </si>
  <si>
    <t>B68.8</t>
  </si>
  <si>
    <t>B78.2</t>
  </si>
  <si>
    <t>OBP</t>
  </si>
  <si>
    <t>LOSSES</t>
  </si>
  <si>
    <t>GAIN</t>
  </si>
  <si>
    <t>Arrear sheet for BSNL Executives' Pensionars after 78.2 Fitment</t>
  </si>
  <si>
    <t>Gratuity Difference</t>
  </si>
  <si>
    <t>Leave Encash Difference</t>
  </si>
  <si>
    <t>PENSION</t>
  </si>
  <si>
    <t>Pension Arrear Payable wef 10-06-2013</t>
  </si>
  <si>
    <t>Old Pay Scale</t>
  </si>
  <si>
    <t xml:space="preserve">Pay Arrear from 01-07-2007 to Retirement </t>
  </si>
  <si>
    <t>NIL</t>
  </si>
  <si>
    <t>by M.K.Morodia, Circle Secy., AIBSNLEA(Raj.) [9413395858]</t>
  </si>
  <si>
    <t>Earned Leave Balance</t>
  </si>
  <si>
    <t>Loss</t>
  </si>
  <si>
    <t>"1" is the Default value for normal Calculation. Change these  if desired values are not appearing. In 'Manual 68.8 Basic' (Yellow) field type "Y" or type Actual Basic Pay for promotion if desired Basic not appearing. leave yellow cell Blank for Auto calculation. HRA/TA values(Blue Cells) can also be changed Mannually if needed.</t>
  </si>
  <si>
    <t>Light yellow cells are drop down, Dark yellow cells need manual entry. Green &amp; Red cells are output. 'ARREAR' Sheet reflect details of pay arrears after retirement.</t>
  </si>
  <si>
    <t>Headings</t>
  </si>
  <si>
    <t>Years of Service</t>
  </si>
  <si>
    <t>Fixation (Promo-I)</t>
  </si>
  <si>
    <t>Fixation (Promo-II)</t>
  </si>
  <si>
    <t>Commutated Pension 68.8</t>
  </si>
  <si>
    <t>Age on Retirement (Yr)</t>
  </si>
  <si>
    <t>Commutation Opted</t>
  </si>
  <si>
    <t xml:space="preserve">Pension Arrear: Retirement to 09-06-2013 </t>
  </si>
  <si>
    <t xml:space="preserve">Pension Arrear: Retirement to 9-6-2013 </t>
  </si>
  <si>
    <t xml:space="preserve">Pay Arrear: up to Retirement </t>
  </si>
  <si>
    <t>Pension Arrear payable wef 9-6-2013</t>
  </si>
  <si>
    <t>BSNL Qtr. / Trans. Allow.</t>
  </si>
  <si>
    <t>City Type / PS</t>
  </si>
  <si>
    <t>Gain in Pension in Aug-2016 month</t>
  </si>
  <si>
    <t>Pension 78.2 (After Opted Commutation)</t>
  </si>
  <si>
    <t>Design.</t>
  </si>
  <si>
    <t>Fixation (Promo-III)</t>
  </si>
  <si>
    <t>Opted Comm. Pension 78.2</t>
  </si>
  <si>
    <t>P'Scale in Jan-2007</t>
  </si>
  <si>
    <t>B'Pay in Jan-2007</t>
  </si>
  <si>
    <t>Increment Month</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</si>
</sst>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
    <numFmt numFmtId="174" formatCode="General;;;"/>
    <numFmt numFmtId="175" formatCode=";;;"/>
    <numFmt numFmtId="176" formatCode="&quot;Yes&quot;;&quot;Yes&quot;;&quot;No&quot;"/>
    <numFmt numFmtId="177" formatCode="&quot;True&quot;;&quot;True&quot;;&quot;False&quot;"/>
    <numFmt numFmtId="178" formatCode="&quot;On&quot;;&quot;On&quot;;&quot;Off&quot;"/>
    <numFmt numFmtId="179" formatCode="[$€-2]\ #,##0.00_);[Red]\([$€-2]\ #,##0.00\)"/>
    <numFmt numFmtId="180" formatCode="0\ ;\-0;&quot;-&quot;"/>
    <numFmt numFmtId="181" formatCode="0\ ;\-0;&quot; &quot;"/>
    <numFmt numFmtId="182" formatCode="##,##0\ ;\-##,##0;&quot; &quot;"/>
    <numFmt numFmtId="183" formatCode="0\ ;\-0;&quot;---&quot;"/>
    <numFmt numFmtId="184" formatCode="0\ ;\-0;&quot;--- &quot;"/>
    <numFmt numFmtId="185" formatCode="###,##0\ ;\-###,##0;&quot;--- &quot;"/>
    <numFmt numFmtId="186" formatCode="[$-4009]dd\ mmmm\ yyyy"/>
  </numFmts>
  <fonts count="53">
    <font>
      <sz val="10"/>
      <name val="Arial"/>
      <family val="0"/>
    </font>
    <font>
      <sz val="8"/>
      <name val="Arial"/>
      <family val="2"/>
    </font>
    <font>
      <sz val="8"/>
      <name val="Tahoma"/>
      <family val="2"/>
    </font>
    <font>
      <b/>
      <sz val="8"/>
      <name val="Tahoma"/>
      <family val="2"/>
    </font>
    <font>
      <sz val="9"/>
      <name val="Arial"/>
      <family val="2"/>
    </font>
    <font>
      <b/>
      <sz val="9"/>
      <name val="Arial"/>
      <family val="2"/>
    </font>
    <font>
      <b/>
      <sz val="12"/>
      <name val="Tahoma"/>
      <family val="2"/>
    </font>
    <font>
      <b/>
      <sz val="10"/>
      <name val="Tahoma"/>
      <family val="2"/>
    </font>
    <font>
      <sz val="9"/>
      <name val="Tahoma"/>
      <family val="2"/>
    </font>
    <font>
      <b/>
      <sz val="11"/>
      <name val="Arial"/>
      <family val="2"/>
    </font>
    <font>
      <b/>
      <u val="single"/>
      <sz val="12"/>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9"/>
      <color indexed="10"/>
      <name val="Arial"/>
      <family val="2"/>
    </font>
    <font>
      <b/>
      <sz val="9"/>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sz val="9"/>
      <color rgb="FFFF0000"/>
      <name val="Arial"/>
      <family val="2"/>
    </font>
    <font>
      <b/>
      <sz val="9"/>
      <color rgb="FFC0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theme="7" tint="0.7999799847602844"/>
        <bgColor indexed="64"/>
      </patternFill>
    </fill>
    <fill>
      <patternFill patternType="solid">
        <fgColor rgb="FFCCFFFF"/>
        <bgColor indexed="64"/>
      </patternFill>
    </fill>
    <fill>
      <patternFill patternType="solid">
        <fgColor rgb="FFCCFFCC"/>
        <bgColor indexed="64"/>
      </patternFill>
    </fill>
    <fill>
      <patternFill patternType="solid">
        <fgColor rgb="FFCDFFCD"/>
        <bgColor indexed="64"/>
      </patternFill>
    </fill>
    <fill>
      <patternFill patternType="solid">
        <fgColor rgb="FFFFC8C8"/>
        <bgColor indexed="64"/>
      </patternFill>
    </fill>
    <fill>
      <patternFill patternType="solid">
        <fgColor rgb="FFC8FFFF"/>
        <bgColor indexed="64"/>
      </patternFill>
    </fill>
    <fill>
      <patternFill patternType="solid">
        <fgColor rgb="FFFFCCFF"/>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color indexed="63"/>
      </left>
      <right style="hair"/>
      <top style="hair"/>
      <bottom style="hair"/>
    </border>
    <border>
      <left style="hair"/>
      <right style="hair"/>
      <top style="hair"/>
      <bottom style="hair"/>
    </border>
    <border>
      <left>
        <color indexed="63"/>
      </left>
      <right>
        <color indexed="63"/>
      </right>
      <top>
        <color indexed="63"/>
      </top>
      <bottom style="hair"/>
    </border>
    <border>
      <left style="thin"/>
      <right style="thin"/>
      <top style="thin"/>
      <bottom style="thin"/>
    </border>
    <border>
      <left style="hair"/>
      <right style="hair"/>
      <top>
        <color indexed="63"/>
      </top>
      <bottom style="hair"/>
    </border>
    <border>
      <left>
        <color indexed="63"/>
      </left>
      <right>
        <color indexed="63"/>
      </right>
      <top style="hair"/>
      <bottom style="hair"/>
    </border>
    <border>
      <left style="thin"/>
      <right>
        <color indexed="63"/>
      </right>
      <top style="thin"/>
      <bottom style="thin"/>
    </border>
    <border>
      <left style="hair"/>
      <right>
        <color indexed="63"/>
      </right>
      <top>
        <color indexed="63"/>
      </top>
      <bottom style="hair"/>
    </border>
    <border>
      <left style="thin"/>
      <right style="hair"/>
      <top>
        <color indexed="63"/>
      </top>
      <bottom style="hair"/>
    </border>
    <border>
      <left style="hair"/>
      <right style="thin"/>
      <top>
        <color indexed="63"/>
      </top>
      <bottom style="hair"/>
    </border>
    <border>
      <left style="hair"/>
      <right style="thin"/>
      <top style="hair"/>
      <bottom style="hair"/>
    </border>
    <border>
      <left style="thin"/>
      <right style="hair"/>
      <top>
        <color indexed="63"/>
      </top>
      <bottom style="thin"/>
    </border>
    <border>
      <left>
        <color indexed="63"/>
      </left>
      <right>
        <color indexed="63"/>
      </right>
      <top style="hair"/>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style="hair"/>
    </border>
    <border>
      <left>
        <color indexed="63"/>
      </left>
      <right style="thin"/>
      <top style="thin"/>
      <bottom style="hair"/>
    </border>
    <border>
      <left>
        <color indexed="63"/>
      </left>
      <right>
        <color indexed="63"/>
      </right>
      <top style="thin"/>
      <bottom style="hair"/>
    </border>
    <border>
      <left style="thin"/>
      <right style="thin"/>
      <top style="hair"/>
      <bottom style="hair"/>
    </border>
    <border>
      <left>
        <color indexed="63"/>
      </left>
      <right style="thin"/>
      <top style="hair"/>
      <bottom style="hair"/>
    </border>
    <border>
      <left style="thin"/>
      <right>
        <color indexed="63"/>
      </right>
      <top style="hair"/>
      <bottom style="hair"/>
    </border>
    <border>
      <left style="thin"/>
      <right style="thin"/>
      <top style="hair"/>
      <bottom style="thin"/>
    </border>
    <border>
      <left>
        <color indexed="63"/>
      </left>
      <right style="thin"/>
      <top style="hair"/>
      <bottom style="thin"/>
    </border>
    <border>
      <left>
        <color indexed="63"/>
      </left>
      <right style="hair"/>
      <top style="hair"/>
      <bottom style="thin"/>
    </border>
    <border>
      <left style="thin"/>
      <right style="thin"/>
      <top>
        <color indexed="63"/>
      </top>
      <bottom style="hair"/>
    </border>
    <border>
      <left>
        <color indexed="63"/>
      </left>
      <right style="thin"/>
      <top>
        <color indexed="63"/>
      </top>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color indexed="63"/>
      </top>
      <bottom style="hair"/>
    </border>
    <border>
      <left style="hair"/>
      <right style="thin"/>
      <top style="hair"/>
      <bottom style="thin"/>
    </border>
    <border>
      <left style="hair"/>
      <right>
        <color indexed="63"/>
      </right>
      <top style="hair"/>
      <bottom>
        <color indexed="63"/>
      </bottom>
    </border>
    <border>
      <left>
        <color indexed="63"/>
      </left>
      <right style="hair"/>
      <top style="hair"/>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46">
    <xf numFmtId="0" fontId="0" fillId="0" borderId="0" xfId="0" applyAlignment="1">
      <alignment/>
    </xf>
    <xf numFmtId="0" fontId="0" fillId="0" borderId="0" xfId="0" applyFont="1" applyAlignment="1">
      <alignment/>
    </xf>
    <xf numFmtId="0" fontId="0" fillId="0" borderId="0" xfId="0" applyFont="1" applyFill="1" applyAlignment="1">
      <alignment/>
    </xf>
    <xf numFmtId="0" fontId="4" fillId="0" borderId="0" xfId="0" applyNumberFormat="1" applyFont="1" applyAlignment="1">
      <alignment vertical="center"/>
    </xf>
    <xf numFmtId="0" fontId="4" fillId="0" borderId="10" xfId="0" applyNumberFormat="1" applyFont="1" applyBorder="1" applyAlignment="1">
      <alignment vertical="center"/>
    </xf>
    <xf numFmtId="0" fontId="4" fillId="0" borderId="11" xfId="0" applyNumberFormat="1" applyFont="1" applyBorder="1" applyAlignment="1">
      <alignment vertical="center"/>
    </xf>
    <xf numFmtId="0" fontId="5" fillId="0" borderId="0" xfId="0" applyNumberFormat="1" applyFont="1" applyAlignment="1">
      <alignment vertical="center"/>
    </xf>
    <xf numFmtId="0" fontId="5" fillId="0" borderId="0" xfId="0" applyNumberFormat="1" applyFont="1" applyAlignment="1">
      <alignment horizontal="right" vertical="top"/>
    </xf>
    <xf numFmtId="0" fontId="4" fillId="0" borderId="0" xfId="0" applyNumberFormat="1" applyFont="1" applyAlignment="1">
      <alignment/>
    </xf>
    <xf numFmtId="0" fontId="5" fillId="0" borderId="12" xfId="0" applyNumberFormat="1" applyFont="1" applyBorder="1" applyAlignment="1">
      <alignment vertical="center"/>
    </xf>
    <xf numFmtId="0" fontId="4" fillId="32" borderId="12" xfId="0" applyNumberFormat="1" applyFont="1" applyFill="1" applyBorder="1" applyAlignment="1" applyProtection="1">
      <alignment horizontal="center" vertical="center"/>
      <protection locked="0"/>
    </xf>
    <xf numFmtId="0" fontId="5" fillId="0" borderId="12"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5" fillId="0" borderId="12" xfId="0" applyNumberFormat="1" applyFont="1" applyBorder="1" applyAlignment="1" quotePrefix="1">
      <alignment vertical="center"/>
    </xf>
    <xf numFmtId="181" fontId="5" fillId="0" borderId="12" xfId="0" applyNumberFormat="1" applyFont="1" applyBorder="1" applyAlignment="1">
      <alignment vertical="center"/>
    </xf>
    <xf numFmtId="181" fontId="4" fillId="0" borderId="12" xfId="0" applyNumberFormat="1" applyFont="1" applyBorder="1" applyAlignment="1">
      <alignment vertical="center"/>
    </xf>
    <xf numFmtId="181" fontId="5" fillId="0" borderId="12" xfId="0" applyNumberFormat="1" applyFont="1" applyBorder="1" applyAlignment="1">
      <alignment horizontal="right" vertical="center"/>
    </xf>
    <xf numFmtId="181" fontId="4" fillId="0" borderId="12" xfId="0" applyNumberFormat="1" applyFont="1" applyBorder="1" applyAlignment="1">
      <alignment horizontal="right" vertical="center"/>
    </xf>
    <xf numFmtId="0" fontId="4" fillId="0" borderId="0" xfId="0" applyNumberFormat="1" applyFont="1" applyAlignment="1">
      <alignment horizontal="center" vertical="center"/>
    </xf>
    <xf numFmtId="181" fontId="4" fillId="0" borderId="0" xfId="0" applyNumberFormat="1" applyFont="1" applyAlignment="1">
      <alignment/>
    </xf>
    <xf numFmtId="0" fontId="5" fillId="0" borderId="10" xfId="0" applyNumberFormat="1" applyFont="1" applyBorder="1" applyAlignment="1">
      <alignment vertical="center"/>
    </xf>
    <xf numFmtId="0" fontId="5" fillId="0" borderId="10" xfId="0" applyNumberFormat="1" applyFont="1" applyBorder="1" applyAlignment="1">
      <alignment horizontal="left" vertical="center"/>
    </xf>
    <xf numFmtId="0" fontId="5" fillId="0" borderId="11" xfId="0" applyNumberFormat="1" applyFont="1" applyBorder="1" applyAlignment="1">
      <alignment horizontal="right" vertical="center"/>
    </xf>
    <xf numFmtId="0" fontId="0" fillId="0" borderId="0" xfId="0" applyNumberFormat="1" applyAlignment="1">
      <alignment/>
    </xf>
    <xf numFmtId="0" fontId="4" fillId="0" borderId="0" xfId="0" applyNumberFormat="1" applyFont="1" applyFill="1" applyAlignment="1">
      <alignment vertical="center"/>
    </xf>
    <xf numFmtId="0" fontId="4" fillId="0" borderId="13" xfId="0" applyNumberFormat="1" applyFont="1" applyFill="1" applyBorder="1" applyAlignment="1">
      <alignment horizontal="left" vertical="center"/>
    </xf>
    <xf numFmtId="0" fontId="4" fillId="0" borderId="13" xfId="0" applyNumberFormat="1" applyFont="1" applyFill="1" applyBorder="1" applyAlignment="1" applyProtection="1">
      <alignment horizontal="center" vertical="center"/>
      <protection locked="0"/>
    </xf>
    <xf numFmtId="0" fontId="4" fillId="0" borderId="13" xfId="0" applyNumberFormat="1" applyFont="1" applyFill="1" applyBorder="1" applyAlignment="1">
      <alignment vertical="center"/>
    </xf>
    <xf numFmtId="0" fontId="5" fillId="0" borderId="13" xfId="0" applyNumberFormat="1" applyFont="1" applyFill="1" applyBorder="1" applyAlignment="1">
      <alignment horizontal="left" vertical="center"/>
    </xf>
    <xf numFmtId="0" fontId="5" fillId="0" borderId="14" xfId="0" applyNumberFormat="1" applyFont="1" applyBorder="1" applyAlignment="1" applyProtection="1">
      <alignment vertical="center"/>
      <protection hidden="1"/>
    </xf>
    <xf numFmtId="0" fontId="5" fillId="0" borderId="14" xfId="0" applyNumberFormat="1" applyFont="1" applyBorder="1" applyAlignment="1" applyProtection="1" quotePrefix="1">
      <alignment horizontal="left" vertical="center"/>
      <protection hidden="1"/>
    </xf>
    <xf numFmtId="0" fontId="5" fillId="0" borderId="14" xfId="0" applyFont="1" applyBorder="1" applyAlignment="1" applyProtection="1">
      <alignment horizontal="center" vertical="center"/>
      <protection hidden="1"/>
    </xf>
    <xf numFmtId="0" fontId="5" fillId="0" borderId="14"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5" fillId="0" borderId="15" xfId="0" applyNumberFormat="1" applyFont="1" applyBorder="1" applyAlignment="1" applyProtection="1">
      <alignment vertical="center"/>
      <protection hidden="1"/>
    </xf>
    <xf numFmtId="182" fontId="4" fillId="0" borderId="15" xfId="0" applyNumberFormat="1" applyFont="1" applyBorder="1" applyAlignment="1" applyProtection="1">
      <alignment vertical="center"/>
      <protection hidden="1"/>
    </xf>
    <xf numFmtId="0" fontId="5" fillId="0" borderId="12" xfId="0" applyNumberFormat="1"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16"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4" fillId="0" borderId="11" xfId="0" applyNumberFormat="1" applyFont="1" applyFill="1" applyBorder="1" applyAlignment="1" applyProtection="1">
      <alignment vertical="center"/>
      <protection locked="0"/>
    </xf>
    <xf numFmtId="181" fontId="5" fillId="0" borderId="13" xfId="0" applyNumberFormat="1" applyFont="1" applyFill="1" applyBorder="1" applyAlignment="1" applyProtection="1">
      <alignment horizontal="right" vertical="center"/>
      <protection/>
    </xf>
    <xf numFmtId="9" fontId="4" fillId="32" borderId="12" xfId="0" applyNumberFormat="1" applyFont="1" applyFill="1" applyBorder="1" applyAlignment="1" applyProtection="1">
      <alignment horizontal="center" vertical="center"/>
      <protection locked="0"/>
    </xf>
    <xf numFmtId="0" fontId="4" fillId="0" borderId="0" xfId="0" applyNumberFormat="1" applyFont="1" applyAlignment="1" applyProtection="1">
      <alignment vertical="center"/>
      <protection hidden="1"/>
    </xf>
    <xf numFmtId="175" fontId="4" fillId="0" borderId="0" xfId="0" applyNumberFormat="1" applyFont="1" applyAlignment="1">
      <alignment vertical="center"/>
    </xf>
    <xf numFmtId="175" fontId="4" fillId="0" borderId="0" xfId="0" applyNumberFormat="1" applyFont="1" applyAlignment="1">
      <alignment horizontal="center" vertical="center"/>
    </xf>
    <xf numFmtId="175" fontId="4" fillId="0" borderId="0" xfId="0" applyNumberFormat="1" applyFont="1" applyAlignment="1">
      <alignment/>
    </xf>
    <xf numFmtId="0" fontId="9" fillId="0" borderId="0" xfId="0" applyNumberFormat="1" applyFont="1" applyAlignment="1">
      <alignment vertical="center"/>
    </xf>
    <xf numFmtId="0" fontId="9" fillId="0" borderId="0" xfId="0" applyFont="1" applyAlignment="1">
      <alignment vertical="center"/>
    </xf>
    <xf numFmtId="0" fontId="9" fillId="0" borderId="0" xfId="0" applyFont="1" applyAlignment="1" applyProtection="1">
      <alignment horizontal="left" vertical="center"/>
      <protection hidden="1"/>
    </xf>
    <xf numFmtId="0" fontId="9" fillId="0" borderId="0" xfId="0" applyNumberFormat="1" applyFont="1" applyAlignment="1">
      <alignment horizontal="center" vertical="center"/>
    </xf>
    <xf numFmtId="0" fontId="4" fillId="0" borderId="13" xfId="0" applyNumberFormat="1" applyFont="1" applyFill="1" applyBorder="1" applyAlignment="1">
      <alignment horizontal="center" vertical="center"/>
    </xf>
    <xf numFmtId="0" fontId="5" fillId="0" borderId="12" xfId="0" applyNumberFormat="1" applyFont="1" applyBorder="1" applyAlignment="1" quotePrefix="1">
      <alignment horizontal="center" vertical="center"/>
    </xf>
    <xf numFmtId="0" fontId="4" fillId="0" borderId="0" xfId="0" applyNumberFormat="1" applyFont="1" applyAlignment="1">
      <alignment horizontal="center"/>
    </xf>
    <xf numFmtId="0" fontId="4" fillId="0" borderId="13" xfId="0" applyNumberFormat="1" applyFont="1" applyBorder="1" applyAlignment="1">
      <alignment vertical="center"/>
    </xf>
    <xf numFmtId="0" fontId="4" fillId="0" borderId="10" xfId="0" applyNumberFormat="1" applyFont="1" applyBorder="1" applyAlignment="1">
      <alignment horizontal="left" vertical="center"/>
    </xf>
    <xf numFmtId="0" fontId="49" fillId="0" borderId="12" xfId="0" applyNumberFormat="1" applyFont="1" applyBorder="1" applyAlignment="1">
      <alignment vertical="center"/>
    </xf>
    <xf numFmtId="0" fontId="49" fillId="0" borderId="12" xfId="0" applyNumberFormat="1" applyFont="1" applyBorder="1" applyAlignment="1" quotePrefix="1">
      <alignment horizontal="center" vertical="center"/>
    </xf>
    <xf numFmtId="181" fontId="49" fillId="0" borderId="12" xfId="0" applyNumberFormat="1" applyFont="1" applyBorder="1" applyAlignment="1">
      <alignment vertical="center"/>
    </xf>
    <xf numFmtId="181" fontId="50" fillId="0" borderId="12" xfId="0" applyNumberFormat="1" applyFont="1" applyBorder="1" applyAlignment="1">
      <alignment vertical="center"/>
    </xf>
    <xf numFmtId="181" fontId="49" fillId="0" borderId="12" xfId="0" applyNumberFormat="1" applyFont="1" applyBorder="1" applyAlignment="1">
      <alignment horizontal="right" vertical="center"/>
    </xf>
    <xf numFmtId="0" fontId="5" fillId="0" borderId="17" xfId="0" applyNumberFormat="1" applyFont="1" applyBorder="1" applyAlignment="1" applyProtection="1" quotePrefix="1">
      <alignment horizontal="center" vertical="center"/>
      <protection hidden="1"/>
    </xf>
    <xf numFmtId="0" fontId="5" fillId="0" borderId="18" xfId="0" applyNumberFormat="1" applyFont="1" applyBorder="1" applyAlignment="1" applyProtection="1" quotePrefix="1">
      <alignment horizontal="center" vertical="center"/>
      <protection hidden="1"/>
    </xf>
    <xf numFmtId="0" fontId="5" fillId="0" borderId="10" xfId="0" applyNumberFormat="1" applyFont="1" applyBorder="1" applyAlignment="1" applyProtection="1" quotePrefix="1">
      <alignment horizontal="center" vertical="center"/>
      <protection hidden="1"/>
    </xf>
    <xf numFmtId="0" fontId="5" fillId="0" borderId="19" xfId="0" applyNumberFormat="1" applyFont="1" applyBorder="1" applyAlignment="1" applyProtection="1" quotePrefix="1">
      <alignment horizontal="left" vertical="center"/>
      <protection hidden="1"/>
    </xf>
    <xf numFmtId="182" fontId="4" fillId="0" borderId="20" xfId="0" applyNumberFormat="1" applyFont="1" applyBorder="1" applyAlignment="1" applyProtection="1">
      <alignment vertical="center"/>
      <protection hidden="1"/>
    </xf>
    <xf numFmtId="182" fontId="4" fillId="0" borderId="21" xfId="0" applyNumberFormat="1" applyFont="1" applyBorder="1" applyAlignment="1" applyProtection="1">
      <alignment vertical="center"/>
      <protection hidden="1"/>
    </xf>
    <xf numFmtId="0" fontId="5" fillId="0" borderId="22" xfId="0" applyNumberFormat="1" applyFont="1" applyBorder="1" applyAlignment="1" applyProtection="1" quotePrefix="1">
      <alignment horizontal="left" vertical="center"/>
      <protection hidden="1"/>
    </xf>
    <xf numFmtId="182" fontId="4" fillId="0" borderId="23" xfId="0" applyNumberFormat="1" applyFont="1" applyBorder="1" applyAlignment="1" applyProtection="1">
      <alignment vertical="center"/>
      <protection hidden="1"/>
    </xf>
    <xf numFmtId="175" fontId="4" fillId="0" borderId="0" xfId="0" applyNumberFormat="1" applyFont="1" applyAlignment="1" applyProtection="1">
      <alignment vertical="center"/>
      <protection hidden="1"/>
    </xf>
    <xf numFmtId="175" fontId="4" fillId="0" borderId="0" xfId="0" applyNumberFormat="1" applyFont="1" applyAlignment="1" applyProtection="1">
      <alignment horizontal="center" vertical="center"/>
      <protection hidden="1"/>
    </xf>
    <xf numFmtId="175" fontId="4" fillId="0" borderId="0" xfId="0" applyNumberFormat="1" applyFont="1" applyBorder="1" applyAlignment="1" applyProtection="1">
      <alignment vertical="center"/>
      <protection hidden="1"/>
    </xf>
    <xf numFmtId="0" fontId="4" fillId="33" borderId="12" xfId="0" applyNumberFormat="1" applyFont="1" applyFill="1" applyBorder="1" applyAlignment="1" applyProtection="1">
      <alignment horizontal="center" vertical="center"/>
      <protection locked="0"/>
    </xf>
    <xf numFmtId="0" fontId="4" fillId="0" borderId="16"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Alignment="1">
      <alignment/>
    </xf>
    <xf numFmtId="0" fontId="5" fillId="0" borderId="0" xfId="0" applyFont="1" applyAlignment="1">
      <alignment horizontal="lef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5" fillId="0" borderId="14" xfId="0" applyFont="1" applyBorder="1" applyAlignment="1">
      <alignment horizontal="center" vertical="center"/>
    </xf>
    <xf numFmtId="0" fontId="4" fillId="0" borderId="17"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horizontal="center" vertical="center"/>
    </xf>
    <xf numFmtId="0" fontId="4" fillId="0" borderId="26" xfId="0" applyFont="1" applyBorder="1" applyAlignment="1">
      <alignment vertical="center"/>
    </xf>
    <xf numFmtId="0" fontId="4" fillId="0" borderId="27" xfId="0" applyFont="1" applyBorder="1" applyAlignment="1" quotePrefix="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181" fontId="4" fillId="13" borderId="26" xfId="0" applyNumberFormat="1" applyFont="1" applyFill="1" applyBorder="1" applyAlignment="1">
      <alignment horizontal="center" vertical="center"/>
    </xf>
    <xf numFmtId="17" fontId="4" fillId="0" borderId="29" xfId="0" applyNumberFormat="1" applyFont="1" applyBorder="1" applyAlignment="1">
      <alignment vertical="center"/>
    </xf>
    <xf numFmtId="17" fontId="4" fillId="0" borderId="30" xfId="0" applyNumberFormat="1" applyFont="1" applyBorder="1" applyAlignment="1" quotePrefix="1">
      <alignment horizontal="center" vertical="center"/>
    </xf>
    <xf numFmtId="9" fontId="4" fillId="0" borderId="16" xfId="0" applyNumberFormat="1" applyFont="1" applyBorder="1" applyAlignment="1" applyProtection="1">
      <alignment vertical="center"/>
      <protection/>
    </xf>
    <xf numFmtId="0" fontId="4" fillId="0" borderId="30" xfId="0" applyFont="1" applyBorder="1" applyAlignment="1" applyProtection="1">
      <alignment vertical="center"/>
      <protection/>
    </xf>
    <xf numFmtId="181" fontId="4" fillId="13" borderId="29" xfId="0" applyNumberFormat="1" applyFont="1" applyFill="1" applyBorder="1" applyAlignment="1">
      <alignment horizontal="center" vertical="center"/>
    </xf>
    <xf numFmtId="9" fontId="4" fillId="0" borderId="31" xfId="0" applyNumberFormat="1" applyFont="1" applyBorder="1" applyAlignment="1" applyProtection="1">
      <alignment vertical="center"/>
      <protection/>
    </xf>
    <xf numFmtId="9" fontId="4" fillId="32" borderId="11" xfId="0" applyNumberFormat="1" applyFont="1" applyFill="1" applyBorder="1" applyAlignment="1" applyProtection="1">
      <alignment vertical="center"/>
      <protection locked="0"/>
    </xf>
    <xf numFmtId="0" fontId="4" fillId="32" borderId="30" xfId="0" applyFont="1" applyFill="1" applyBorder="1" applyAlignment="1" applyProtection="1">
      <alignment vertical="center"/>
      <protection locked="0"/>
    </xf>
    <xf numFmtId="17" fontId="4" fillId="0" borderId="32" xfId="0" applyNumberFormat="1" applyFont="1" applyBorder="1" applyAlignment="1">
      <alignment vertical="center"/>
    </xf>
    <xf numFmtId="17" fontId="4" fillId="0" borderId="33" xfId="0" applyNumberFormat="1" applyFont="1" applyBorder="1" applyAlignment="1" quotePrefix="1">
      <alignment horizontal="center" vertical="center"/>
    </xf>
    <xf numFmtId="9" fontId="4" fillId="32" borderId="34" xfId="0" applyNumberFormat="1" applyFont="1" applyFill="1" applyBorder="1" applyAlignment="1" applyProtection="1">
      <alignment vertical="center"/>
      <protection locked="0"/>
    </xf>
    <xf numFmtId="0" fontId="4" fillId="32" borderId="33" xfId="0" applyFont="1" applyFill="1" applyBorder="1" applyAlignment="1" applyProtection="1">
      <alignment vertical="center"/>
      <protection locked="0"/>
    </xf>
    <xf numFmtId="181" fontId="4" fillId="13" borderId="32" xfId="0" applyNumberFormat="1" applyFont="1" applyFill="1" applyBorder="1" applyAlignment="1">
      <alignment horizontal="center" vertical="center"/>
    </xf>
    <xf numFmtId="17" fontId="4" fillId="33" borderId="35" xfId="0" applyNumberFormat="1" applyFont="1" applyFill="1" applyBorder="1" applyAlignment="1">
      <alignment vertical="center"/>
    </xf>
    <xf numFmtId="17" fontId="4" fillId="0" borderId="36" xfId="0" applyNumberFormat="1" applyFont="1" applyBorder="1" applyAlignment="1" quotePrefix="1">
      <alignment horizontal="center" vertical="center"/>
    </xf>
    <xf numFmtId="9" fontId="4" fillId="32" borderId="37" xfId="0" applyNumberFormat="1" applyFont="1" applyFill="1" applyBorder="1" applyAlignment="1" applyProtection="1">
      <alignment vertical="center"/>
      <protection locked="0"/>
    </xf>
    <xf numFmtId="0" fontId="4" fillId="32" borderId="36" xfId="0" applyFont="1" applyFill="1" applyBorder="1" applyAlignment="1" applyProtection="1">
      <alignment vertical="center"/>
      <protection locked="0"/>
    </xf>
    <xf numFmtId="181" fontId="4" fillId="13" borderId="35" xfId="0" applyNumberFormat="1" applyFont="1" applyFill="1" applyBorder="1" applyAlignment="1">
      <alignment horizontal="center" vertical="center"/>
    </xf>
    <xf numFmtId="9" fontId="4" fillId="32" borderId="35" xfId="0" applyNumberFormat="1" applyFont="1" applyFill="1" applyBorder="1" applyAlignment="1" applyProtection="1">
      <alignment vertical="center"/>
      <protection locked="0"/>
    </xf>
    <xf numFmtId="0" fontId="4" fillId="32" borderId="35" xfId="0" applyFont="1" applyFill="1" applyBorder="1" applyAlignment="1" applyProtection="1">
      <alignment vertical="center"/>
      <protection locked="0"/>
    </xf>
    <xf numFmtId="9" fontId="4" fillId="32" borderId="29" xfId="0" applyNumberFormat="1" applyFont="1" applyFill="1" applyBorder="1" applyAlignment="1" applyProtection="1">
      <alignment vertical="center"/>
      <protection locked="0"/>
    </xf>
    <xf numFmtId="0" fontId="4" fillId="32" borderId="29" xfId="0" applyFont="1" applyFill="1" applyBorder="1" applyAlignment="1" applyProtection="1">
      <alignment vertical="center"/>
      <protection locked="0"/>
    </xf>
    <xf numFmtId="9" fontId="4" fillId="32" borderId="32" xfId="0" applyNumberFormat="1" applyFont="1" applyFill="1" applyBorder="1" applyAlignment="1" applyProtection="1">
      <alignment vertical="center"/>
      <protection locked="0"/>
    </xf>
    <xf numFmtId="0" fontId="4" fillId="32" borderId="32" xfId="0" applyFont="1" applyFill="1" applyBorder="1" applyAlignment="1" applyProtection="1">
      <alignment vertical="center"/>
      <protection locked="0"/>
    </xf>
    <xf numFmtId="0" fontId="4" fillId="0" borderId="0" xfId="0" applyFont="1" applyAlignment="1">
      <alignment vertical="top"/>
    </xf>
    <xf numFmtId="17" fontId="4" fillId="0" borderId="0" xfId="0" applyNumberFormat="1" applyFont="1" applyFill="1" applyBorder="1" applyAlignment="1">
      <alignment horizontal="left" vertical="center"/>
    </xf>
    <xf numFmtId="0" fontId="4" fillId="0" borderId="0" xfId="0" applyFont="1" applyAlignment="1">
      <alignment horizontal="center"/>
    </xf>
    <xf numFmtId="0" fontId="4" fillId="0" borderId="38" xfId="0" applyNumberFormat="1" applyFont="1" applyFill="1" applyBorder="1" applyAlignment="1">
      <alignment horizontal="center" vertical="center"/>
    </xf>
    <xf numFmtId="182" fontId="5" fillId="0" borderId="33" xfId="0" applyNumberFormat="1" applyFont="1" applyBorder="1" applyAlignment="1" applyProtection="1">
      <alignment vertical="center"/>
      <protection hidden="1"/>
    </xf>
    <xf numFmtId="0" fontId="4" fillId="0" borderId="16" xfId="0" applyNumberFormat="1" applyFont="1" applyFill="1" applyBorder="1" applyAlignment="1">
      <alignment vertical="center"/>
    </xf>
    <xf numFmtId="0" fontId="4" fillId="0" borderId="11" xfId="0" applyNumberFormat="1" applyFont="1" applyFill="1" applyBorder="1" applyAlignment="1">
      <alignment vertical="center"/>
    </xf>
    <xf numFmtId="181" fontId="4" fillId="34" borderId="29" xfId="0" applyNumberFormat="1" applyFont="1" applyFill="1" applyBorder="1" applyAlignment="1" applyProtection="1">
      <alignment horizontal="center" vertical="center"/>
      <protection hidden="1"/>
    </xf>
    <xf numFmtId="181" fontId="4" fillId="34" borderId="32" xfId="0" applyNumberFormat="1" applyFont="1" applyFill="1" applyBorder="1" applyAlignment="1" applyProtection="1">
      <alignment horizontal="center" vertical="center"/>
      <protection hidden="1"/>
    </xf>
    <xf numFmtId="181" fontId="4" fillId="34" borderId="35" xfId="0" applyNumberFormat="1" applyFont="1" applyFill="1" applyBorder="1" applyAlignment="1" applyProtection="1">
      <alignment horizontal="center" vertical="center"/>
      <protection hidden="1"/>
    </xf>
    <xf numFmtId="0" fontId="51" fillId="0" borderId="0" xfId="0" applyNumberFormat="1" applyFont="1" applyFill="1" applyAlignment="1">
      <alignment/>
    </xf>
    <xf numFmtId="0" fontId="4" fillId="31" borderId="39" xfId="0" applyNumberFormat="1" applyFont="1" applyFill="1" applyBorder="1" applyAlignment="1" applyProtection="1">
      <alignment horizontal="center" vertical="center"/>
      <protection locked="0"/>
    </xf>
    <xf numFmtId="0" fontId="4" fillId="31" borderId="31" xfId="0" applyNumberFormat="1" applyFont="1" applyFill="1" applyBorder="1" applyAlignment="1" applyProtection="1">
      <alignment horizontal="center" vertical="center"/>
      <protection locked="0"/>
    </xf>
    <xf numFmtId="0" fontId="4" fillId="31" borderId="40" xfId="0" applyNumberFormat="1" applyFont="1" applyFill="1" applyBorder="1" applyAlignment="1" applyProtection="1">
      <alignment horizontal="center" vertical="center"/>
      <protection locked="0"/>
    </xf>
    <xf numFmtId="0" fontId="4" fillId="31" borderId="41" xfId="0" applyNumberFormat="1" applyFont="1" applyFill="1" applyBorder="1" applyAlignment="1" applyProtection="1">
      <alignment horizontal="center" vertical="center"/>
      <protection locked="0"/>
    </xf>
    <xf numFmtId="0" fontId="4" fillId="31" borderId="35" xfId="0" applyNumberFormat="1" applyFont="1" applyFill="1" applyBorder="1" applyAlignment="1" applyProtection="1">
      <alignment horizontal="center" vertical="center"/>
      <protection locked="0"/>
    </xf>
    <xf numFmtId="0" fontId="4" fillId="31" borderId="29" xfId="0" applyNumberFormat="1" applyFont="1" applyFill="1" applyBorder="1" applyAlignment="1" applyProtection="1">
      <alignment horizontal="center" vertical="center"/>
      <protection locked="0"/>
    </xf>
    <xf numFmtId="0" fontId="4" fillId="31" borderId="32" xfId="0" applyNumberFormat="1" applyFont="1" applyFill="1" applyBorder="1" applyAlignment="1" applyProtection="1">
      <alignment horizontal="center" vertical="center"/>
      <protection locked="0"/>
    </xf>
    <xf numFmtId="9" fontId="4" fillId="35" borderId="28" xfId="0" applyNumberFormat="1" applyFont="1" applyFill="1" applyBorder="1" applyAlignment="1" applyProtection="1">
      <alignment horizontal="center" vertical="center"/>
      <protection locked="0"/>
    </xf>
    <xf numFmtId="0" fontId="4" fillId="35" borderId="26" xfId="0" applyFont="1" applyFill="1" applyBorder="1" applyAlignment="1" applyProtection="1">
      <alignment horizontal="center" vertical="center"/>
      <protection locked="0"/>
    </xf>
    <xf numFmtId="9" fontId="4" fillId="35" borderId="16" xfId="0" applyNumberFormat="1" applyFont="1" applyFill="1" applyBorder="1" applyAlignment="1" applyProtection="1">
      <alignment horizontal="center" vertical="center"/>
      <protection locked="0"/>
    </xf>
    <xf numFmtId="0" fontId="4" fillId="35" borderId="29" xfId="0" applyFont="1" applyFill="1" applyBorder="1" applyAlignment="1" applyProtection="1">
      <alignment horizontal="center" vertical="center"/>
      <protection locked="0"/>
    </xf>
    <xf numFmtId="9" fontId="4" fillId="35" borderId="23" xfId="0" applyNumberFormat="1" applyFont="1" applyFill="1" applyBorder="1" applyAlignment="1" applyProtection="1">
      <alignment horizontal="center" vertical="center"/>
      <protection locked="0"/>
    </xf>
    <xf numFmtId="0" fontId="4" fillId="35" borderId="32" xfId="0" applyFont="1" applyFill="1" applyBorder="1" applyAlignment="1" applyProtection="1">
      <alignment horizontal="center" vertical="center"/>
      <protection locked="0"/>
    </xf>
    <xf numFmtId="9" fontId="4" fillId="35" borderId="41" xfId="0" applyNumberFormat="1" applyFont="1" applyFill="1" applyBorder="1" applyAlignment="1" applyProtection="1">
      <alignment horizontal="center" vertical="center"/>
      <protection locked="0"/>
    </xf>
    <xf numFmtId="0" fontId="4" fillId="35" borderId="35" xfId="0" applyFont="1" applyFill="1" applyBorder="1" applyAlignment="1" applyProtection="1">
      <alignment horizontal="center" vertical="center"/>
      <protection locked="0"/>
    </xf>
    <xf numFmtId="9" fontId="4" fillId="35" borderId="35" xfId="0" applyNumberFormat="1" applyFont="1" applyFill="1" applyBorder="1" applyAlignment="1" applyProtection="1">
      <alignment horizontal="center" vertical="center"/>
      <protection locked="0"/>
    </xf>
    <xf numFmtId="9" fontId="4" fillId="35" borderId="29" xfId="0" applyNumberFormat="1" applyFont="1" applyFill="1" applyBorder="1" applyAlignment="1" applyProtection="1">
      <alignment horizontal="center" vertical="center"/>
      <protection locked="0"/>
    </xf>
    <xf numFmtId="9" fontId="4" fillId="35" borderId="32" xfId="0" applyNumberFormat="1" applyFont="1" applyFill="1" applyBorder="1" applyAlignment="1" applyProtection="1">
      <alignment horizontal="center" vertical="center"/>
      <protection locked="0"/>
    </xf>
    <xf numFmtId="181" fontId="4" fillId="34" borderId="26" xfId="0" applyNumberFormat="1" applyFont="1" applyFill="1" applyBorder="1" applyAlignment="1" applyProtection="1">
      <alignment horizontal="center" vertical="center"/>
      <protection hidden="1"/>
    </xf>
    <xf numFmtId="0" fontId="4" fillId="36" borderId="26" xfId="0" applyFont="1" applyFill="1" applyBorder="1" applyAlignment="1" applyProtection="1">
      <alignment horizontal="center" vertical="center"/>
      <protection hidden="1"/>
    </xf>
    <xf numFmtId="0" fontId="4" fillId="36" borderId="29" xfId="0" applyFont="1" applyFill="1" applyBorder="1" applyAlignment="1" applyProtection="1">
      <alignment horizontal="center" vertical="center"/>
      <protection hidden="1"/>
    </xf>
    <xf numFmtId="0" fontId="4" fillId="36" borderId="32" xfId="0" applyFont="1" applyFill="1" applyBorder="1" applyAlignment="1" applyProtection="1">
      <alignment horizontal="center" vertical="center"/>
      <protection hidden="1"/>
    </xf>
    <xf numFmtId="0" fontId="4" fillId="36" borderId="35" xfId="0" applyFont="1" applyFill="1" applyBorder="1" applyAlignment="1" applyProtection="1">
      <alignment horizontal="center" vertical="center"/>
      <protection hidden="1"/>
    </xf>
    <xf numFmtId="175" fontId="9" fillId="0" borderId="0" xfId="0" applyNumberFormat="1" applyFont="1" applyAlignment="1">
      <alignment vertical="center"/>
    </xf>
    <xf numFmtId="175" fontId="4" fillId="0" borderId="0" xfId="0" applyNumberFormat="1" applyFont="1" applyFill="1" applyAlignment="1">
      <alignment vertical="center"/>
    </xf>
    <xf numFmtId="175" fontId="5" fillId="0" borderId="0" xfId="0" applyNumberFormat="1" applyFont="1" applyBorder="1" applyAlignment="1">
      <alignment vertical="center"/>
    </xf>
    <xf numFmtId="175" fontId="4" fillId="0" borderId="0" xfId="0" applyNumberFormat="1" applyFont="1" applyBorder="1" applyAlignment="1">
      <alignment vertical="center"/>
    </xf>
    <xf numFmtId="175" fontId="5" fillId="0" borderId="0" xfId="0" applyNumberFormat="1" applyFont="1" applyBorder="1" applyAlignment="1">
      <alignment horizontal="right" vertical="center"/>
    </xf>
    <xf numFmtId="175" fontId="0" fillId="0" borderId="0" xfId="0" applyNumberFormat="1" applyAlignment="1">
      <alignment horizontal="center"/>
    </xf>
    <xf numFmtId="175" fontId="0" fillId="0" borderId="0" xfId="0" applyNumberFormat="1" applyAlignment="1">
      <alignment/>
    </xf>
    <xf numFmtId="172" fontId="4" fillId="33" borderId="12" xfId="0" applyNumberFormat="1" applyFont="1" applyFill="1" applyBorder="1" applyAlignment="1" applyProtection="1">
      <alignment horizontal="center" vertical="center"/>
      <protection locked="0"/>
    </xf>
    <xf numFmtId="0" fontId="5" fillId="0" borderId="11" xfId="0" applyNumberFormat="1" applyFont="1" applyBorder="1" applyAlignment="1">
      <alignment vertical="center"/>
    </xf>
    <xf numFmtId="0" fontId="5" fillId="0" borderId="18" xfId="0" applyNumberFormat="1" applyFont="1" applyBorder="1" applyAlignment="1">
      <alignment horizontal="left" vertical="center"/>
    </xf>
    <xf numFmtId="0" fontId="4" fillId="32" borderId="15" xfId="0" applyNumberFormat="1" applyFont="1" applyFill="1" applyBorder="1" applyAlignment="1" applyProtection="1">
      <alignment horizontal="center" vertical="center"/>
      <protection locked="0"/>
    </xf>
    <xf numFmtId="0" fontId="5" fillId="0" borderId="10" xfId="0" applyNumberFormat="1" applyFont="1" applyBorder="1" applyAlignment="1">
      <alignment horizontal="center" vertical="center"/>
    </xf>
    <xf numFmtId="185" fontId="4" fillId="37" borderId="12" xfId="0" applyNumberFormat="1" applyFont="1" applyFill="1" applyBorder="1" applyAlignment="1" applyProtection="1">
      <alignment horizontal="right" vertical="center"/>
      <protection/>
    </xf>
    <xf numFmtId="0" fontId="5" fillId="37" borderId="39" xfId="0" applyFont="1" applyFill="1" applyBorder="1" applyAlignment="1" applyProtection="1">
      <alignment vertical="center"/>
      <protection hidden="1"/>
    </xf>
    <xf numFmtId="0" fontId="4" fillId="37" borderId="28" xfId="0" applyFont="1" applyFill="1" applyBorder="1" applyAlignment="1" applyProtection="1">
      <alignment vertical="center"/>
      <protection hidden="1"/>
    </xf>
    <xf numFmtId="0" fontId="4" fillId="37" borderId="27" xfId="0" applyFont="1" applyFill="1" applyBorder="1" applyAlignment="1" applyProtection="1">
      <alignment vertical="center"/>
      <protection hidden="1"/>
    </xf>
    <xf numFmtId="185" fontId="4" fillId="38" borderId="12" xfId="0" applyNumberFormat="1" applyFont="1" applyFill="1" applyBorder="1" applyAlignment="1" applyProtection="1">
      <alignment horizontal="right" vertical="center"/>
      <protection/>
    </xf>
    <xf numFmtId="0" fontId="5" fillId="38" borderId="39" xfId="0" applyFont="1" applyFill="1" applyBorder="1" applyAlignment="1" applyProtection="1">
      <alignment vertical="center"/>
      <protection hidden="1"/>
    </xf>
    <xf numFmtId="0" fontId="4" fillId="38" borderId="28" xfId="0" applyFont="1" applyFill="1" applyBorder="1" applyAlignment="1" applyProtection="1">
      <alignment vertical="center"/>
      <protection hidden="1"/>
    </xf>
    <xf numFmtId="0" fontId="4" fillId="38" borderId="27" xfId="0" applyFont="1" applyFill="1" applyBorder="1" applyAlignment="1" applyProtection="1">
      <alignment vertical="center"/>
      <protection hidden="1"/>
    </xf>
    <xf numFmtId="0" fontId="4" fillId="38" borderId="41" xfId="0" applyNumberFormat="1" applyFont="1" applyFill="1" applyBorder="1" applyAlignment="1">
      <alignment vertical="center"/>
    </xf>
    <xf numFmtId="0" fontId="4" fillId="38" borderId="13" xfId="0" applyFont="1" applyFill="1" applyBorder="1" applyAlignment="1" applyProtection="1">
      <alignment vertical="center"/>
      <protection hidden="1"/>
    </xf>
    <xf numFmtId="0" fontId="4" fillId="38" borderId="31" xfId="0" applyNumberFormat="1" applyFont="1" applyFill="1" applyBorder="1" applyAlignment="1">
      <alignment vertical="center"/>
    </xf>
    <xf numFmtId="0" fontId="4" fillId="38" borderId="16" xfId="0" applyFont="1" applyFill="1" applyBorder="1" applyAlignment="1" applyProtection="1">
      <alignment vertical="center"/>
      <protection hidden="1"/>
    </xf>
    <xf numFmtId="0" fontId="4" fillId="38" borderId="40" xfId="0" applyNumberFormat="1" applyFont="1" applyFill="1" applyBorder="1" applyAlignment="1">
      <alignment vertical="center"/>
    </xf>
    <xf numFmtId="0" fontId="4" fillId="38" borderId="23" xfId="0" applyFont="1" applyFill="1" applyBorder="1" applyAlignment="1" applyProtection="1">
      <alignment vertical="center"/>
      <protection hidden="1"/>
    </xf>
    <xf numFmtId="0" fontId="5" fillId="39" borderId="39" xfId="0" applyFont="1" applyFill="1" applyBorder="1" applyAlignment="1" applyProtection="1">
      <alignment vertical="center"/>
      <protection hidden="1"/>
    </xf>
    <xf numFmtId="0" fontId="4" fillId="39" borderId="28" xfId="0" applyFont="1" applyFill="1" applyBorder="1" applyAlignment="1" applyProtection="1">
      <alignment vertical="center"/>
      <protection hidden="1"/>
    </xf>
    <xf numFmtId="0" fontId="4" fillId="39" borderId="27" xfId="0" applyFont="1" applyFill="1" applyBorder="1" applyAlignment="1" applyProtection="1">
      <alignment vertical="center"/>
      <protection hidden="1"/>
    </xf>
    <xf numFmtId="0" fontId="4" fillId="39" borderId="13" xfId="0" applyFont="1" applyFill="1" applyBorder="1" applyAlignment="1" applyProtection="1">
      <alignment vertical="center"/>
      <protection hidden="1"/>
    </xf>
    <xf numFmtId="0" fontId="4" fillId="39" borderId="37" xfId="0" applyFont="1" applyFill="1" applyBorder="1" applyAlignment="1" applyProtection="1">
      <alignment vertical="center"/>
      <protection hidden="1"/>
    </xf>
    <xf numFmtId="184" fontId="4" fillId="39" borderId="12" xfId="0" applyNumberFormat="1" applyFont="1" applyFill="1" applyBorder="1" applyAlignment="1" applyProtection="1">
      <alignment horizontal="right" vertical="center"/>
      <protection/>
    </xf>
    <xf numFmtId="185" fontId="4" fillId="39" borderId="12" xfId="0" applyNumberFormat="1" applyFont="1" applyFill="1" applyBorder="1" applyAlignment="1" applyProtection="1">
      <alignment horizontal="right" vertical="center"/>
      <protection/>
    </xf>
    <xf numFmtId="9" fontId="4" fillId="39" borderId="15" xfId="57" applyNumberFormat="1" applyFont="1" applyFill="1" applyBorder="1" applyAlignment="1" applyProtection="1">
      <alignment horizontal="center" vertical="center"/>
      <protection/>
    </xf>
    <xf numFmtId="9" fontId="4" fillId="39" borderId="12" xfId="57" applyNumberFormat="1" applyFont="1" applyFill="1" applyBorder="1" applyAlignment="1" applyProtection="1">
      <alignment horizontal="center" vertical="center"/>
      <protection/>
    </xf>
    <xf numFmtId="0" fontId="4" fillId="39" borderId="41" xfId="0" applyFont="1" applyFill="1" applyBorder="1" applyAlignment="1" applyProtection="1">
      <alignment vertical="center"/>
      <protection hidden="1"/>
    </xf>
    <xf numFmtId="0" fontId="4" fillId="39" borderId="40" xfId="0" applyFont="1" applyFill="1" applyBorder="1" applyAlignment="1" applyProtection="1">
      <alignment vertical="center"/>
      <protection hidden="1"/>
    </xf>
    <xf numFmtId="0" fontId="4" fillId="39" borderId="23" xfId="0" applyFont="1" applyFill="1" applyBorder="1" applyAlignment="1" applyProtection="1">
      <alignment vertical="center"/>
      <protection hidden="1"/>
    </xf>
    <xf numFmtId="0" fontId="4" fillId="39" borderId="34" xfId="0" applyFont="1" applyFill="1" applyBorder="1" applyAlignment="1" applyProtection="1">
      <alignment vertical="center"/>
      <protection hidden="1"/>
    </xf>
    <xf numFmtId="0" fontId="4" fillId="4" borderId="0" xfId="0" applyNumberFormat="1" applyFont="1" applyFill="1" applyBorder="1" applyAlignment="1">
      <alignment horizontal="center" vertical="center"/>
    </xf>
    <xf numFmtId="0" fontId="4" fillId="37" borderId="31" xfId="0" applyNumberFormat="1" applyFont="1" applyFill="1" applyBorder="1" applyAlignment="1">
      <alignment vertical="center"/>
    </xf>
    <xf numFmtId="0" fontId="4" fillId="37" borderId="16" xfId="0" applyFont="1" applyFill="1" applyBorder="1" applyAlignment="1" applyProtection="1">
      <alignment vertical="center"/>
      <protection hidden="1"/>
    </xf>
    <xf numFmtId="0" fontId="4" fillId="37" borderId="11" xfId="0" applyFont="1" applyFill="1" applyBorder="1" applyAlignment="1" applyProtection="1">
      <alignment vertical="center"/>
      <protection hidden="1"/>
    </xf>
    <xf numFmtId="0" fontId="4" fillId="37" borderId="40" xfId="0" applyNumberFormat="1" applyFont="1" applyFill="1" applyBorder="1" applyAlignment="1">
      <alignment vertical="center"/>
    </xf>
    <xf numFmtId="0" fontId="4" fillId="37" borderId="23" xfId="0" applyFont="1" applyFill="1" applyBorder="1" applyAlignment="1" applyProtection="1">
      <alignment vertical="center"/>
      <protection hidden="1"/>
    </xf>
    <xf numFmtId="0" fontId="4" fillId="37" borderId="34" xfId="0" applyFont="1" applyFill="1" applyBorder="1" applyAlignment="1" applyProtection="1">
      <alignment vertical="center"/>
      <protection hidden="1"/>
    </xf>
    <xf numFmtId="185" fontId="5" fillId="37" borderId="21" xfId="0" applyNumberFormat="1" applyFont="1" applyFill="1" applyBorder="1" applyAlignment="1" applyProtection="1">
      <alignment vertical="center"/>
      <protection hidden="1"/>
    </xf>
    <xf numFmtId="185" fontId="5" fillId="37" borderId="42" xfId="0" applyNumberFormat="1" applyFont="1" applyFill="1" applyBorder="1" applyAlignment="1" applyProtection="1">
      <alignment vertical="center"/>
      <protection hidden="1"/>
    </xf>
    <xf numFmtId="185" fontId="5" fillId="38" borderId="20" xfId="0" applyNumberFormat="1" applyFont="1" applyFill="1" applyBorder="1" applyAlignment="1" applyProtection="1">
      <alignment horizontal="right" vertical="center"/>
      <protection/>
    </xf>
    <xf numFmtId="185" fontId="5" fillId="38" borderId="21" xfId="0" applyNumberFormat="1" applyFont="1" applyFill="1" applyBorder="1" applyAlignment="1" applyProtection="1">
      <alignment horizontal="right" vertical="center"/>
      <protection/>
    </xf>
    <xf numFmtId="185" fontId="5" fillId="38" borderId="42" xfId="0" applyNumberFormat="1" applyFont="1" applyFill="1" applyBorder="1" applyAlignment="1" applyProtection="1">
      <alignment horizontal="right" vertical="center"/>
      <protection/>
    </xf>
    <xf numFmtId="185" fontId="5" fillId="39" borderId="20" xfId="0" applyNumberFormat="1" applyFont="1" applyFill="1" applyBorder="1" applyAlignment="1" applyProtection="1">
      <alignment vertical="center"/>
      <protection hidden="1"/>
    </xf>
    <xf numFmtId="185" fontId="5" fillId="39" borderId="42" xfId="0" applyNumberFormat="1" applyFont="1" applyFill="1" applyBorder="1" applyAlignment="1" applyProtection="1">
      <alignment vertical="center"/>
      <protection hidden="1"/>
    </xf>
    <xf numFmtId="175" fontId="9" fillId="0" borderId="0" xfId="0" applyNumberFormat="1" applyFont="1" applyAlignment="1">
      <alignment horizontal="center" vertical="center"/>
    </xf>
    <xf numFmtId="175" fontId="4" fillId="0" borderId="0" xfId="0" applyNumberFormat="1" applyFont="1" applyFill="1" applyBorder="1" applyAlignment="1" applyProtection="1">
      <alignment horizontal="center" vertical="center"/>
      <protection locked="0"/>
    </xf>
    <xf numFmtId="175" fontId="4" fillId="0" borderId="0" xfId="0" applyNumberFormat="1" applyFont="1" applyFill="1" applyBorder="1" applyAlignment="1">
      <alignment horizontal="center" vertical="center"/>
    </xf>
    <xf numFmtId="175" fontId="5" fillId="0" borderId="0" xfId="0" applyNumberFormat="1" applyFont="1" applyFill="1" applyBorder="1" applyAlignment="1">
      <alignment horizontal="left" vertical="center"/>
    </xf>
    <xf numFmtId="175" fontId="4" fillId="0" borderId="0" xfId="0" applyNumberFormat="1" applyFont="1" applyFill="1" applyBorder="1" applyAlignment="1">
      <alignment vertical="center"/>
    </xf>
    <xf numFmtId="175" fontId="4" fillId="0" borderId="0" xfId="0" applyNumberFormat="1" applyFont="1" applyFill="1" applyAlignment="1">
      <alignment horizontal="center" vertical="center"/>
    </xf>
    <xf numFmtId="175" fontId="4" fillId="0" borderId="0" xfId="0" applyNumberFormat="1" applyFont="1" applyAlignment="1">
      <alignment horizontal="center"/>
    </xf>
    <xf numFmtId="14" fontId="5" fillId="0" borderId="13" xfId="0" applyNumberFormat="1" applyFont="1" applyBorder="1" applyAlignment="1">
      <alignment horizontal="left" vertical="center"/>
    </xf>
    <xf numFmtId="0" fontId="5" fillId="0" borderId="43" xfId="0" applyNumberFormat="1" applyFont="1" applyBorder="1" applyAlignment="1">
      <alignment horizontal="left" vertical="center"/>
    </xf>
    <xf numFmtId="0" fontId="5" fillId="0" borderId="44" xfId="0" applyNumberFormat="1" applyFont="1" applyBorder="1" applyAlignment="1">
      <alignment horizontal="left" vertical="center"/>
    </xf>
    <xf numFmtId="0" fontId="5" fillId="0" borderId="18" xfId="0" applyNumberFormat="1" applyFont="1" applyBorder="1" applyAlignment="1">
      <alignment horizontal="left" vertical="center"/>
    </xf>
    <xf numFmtId="0" fontId="5" fillId="0" borderId="37" xfId="0" applyNumberFormat="1" applyFont="1" applyBorder="1" applyAlignment="1">
      <alignment horizontal="left" vertical="center"/>
    </xf>
    <xf numFmtId="0" fontId="5" fillId="32" borderId="10" xfId="0" applyNumberFormat="1" applyFont="1" applyFill="1" applyBorder="1" applyAlignment="1" applyProtection="1">
      <alignment horizontal="center" vertical="center"/>
      <protection locked="0"/>
    </xf>
    <xf numFmtId="0" fontId="5" fillId="32" borderId="11" xfId="0" applyNumberFormat="1" applyFont="1" applyFill="1" applyBorder="1" applyAlignment="1" applyProtection="1">
      <alignment horizontal="center" vertical="center"/>
      <protection locked="0"/>
    </xf>
    <xf numFmtId="0" fontId="4" fillId="40" borderId="10" xfId="0" applyNumberFormat="1" applyFont="1" applyFill="1" applyBorder="1" applyAlignment="1" applyProtection="1">
      <alignment horizontal="center" vertical="center"/>
      <protection locked="0"/>
    </xf>
    <xf numFmtId="0" fontId="4" fillId="40" borderId="44" xfId="0" applyNumberFormat="1" applyFont="1" applyFill="1" applyBorder="1" applyAlignment="1" applyProtection="1">
      <alignment horizontal="center" vertical="center"/>
      <protection locked="0"/>
    </xf>
    <xf numFmtId="0" fontId="4" fillId="39" borderId="10" xfId="0" applyNumberFormat="1" applyFont="1" applyFill="1" applyBorder="1" applyAlignment="1">
      <alignment horizontal="center" vertical="center"/>
    </xf>
    <xf numFmtId="0" fontId="4" fillId="39" borderId="11" xfId="0" applyNumberFormat="1" applyFont="1" applyFill="1" applyBorder="1" applyAlignment="1">
      <alignment horizontal="center" vertical="center"/>
    </xf>
    <xf numFmtId="0" fontId="5" fillId="0" borderId="12"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4" fillId="0" borderId="10" xfId="0" applyNumberFormat="1" applyFont="1" applyBorder="1" applyAlignment="1">
      <alignment horizontal="left" vertical="center"/>
    </xf>
    <xf numFmtId="0" fontId="4" fillId="0" borderId="16" xfId="0" applyNumberFormat="1" applyFont="1" applyBorder="1" applyAlignment="1">
      <alignment horizontal="left" vertical="center"/>
    </xf>
    <xf numFmtId="0" fontId="4" fillId="0" borderId="11" xfId="0" applyNumberFormat="1" applyFont="1" applyBorder="1" applyAlignment="1">
      <alignment horizontal="left" vertical="center"/>
    </xf>
    <xf numFmtId="175" fontId="4" fillId="0" borderId="0" xfId="0" applyNumberFormat="1" applyFont="1" applyFill="1" applyBorder="1" applyAlignment="1" applyProtection="1">
      <alignment horizontal="center" vertical="center"/>
      <protection locked="0"/>
    </xf>
    <xf numFmtId="0" fontId="4" fillId="39" borderId="10" xfId="0" applyNumberFormat="1" applyFont="1" applyFill="1" applyBorder="1" applyAlignment="1" applyProtection="1">
      <alignment horizontal="center" vertical="center"/>
      <protection/>
    </xf>
    <xf numFmtId="0" fontId="4" fillId="39" borderId="11" xfId="0" applyNumberFormat="1" applyFont="1" applyFill="1" applyBorder="1" applyAlignment="1" applyProtection="1">
      <alignment horizontal="center" vertical="center"/>
      <protection/>
    </xf>
    <xf numFmtId="0" fontId="4" fillId="40" borderId="10" xfId="0" applyNumberFormat="1" applyFont="1" applyFill="1" applyBorder="1" applyAlignment="1" applyProtection="1">
      <alignment horizontal="left" vertical="center"/>
      <protection locked="0"/>
    </xf>
    <xf numFmtId="0" fontId="4" fillId="40" borderId="16" xfId="0" applyNumberFormat="1" applyFont="1" applyFill="1" applyBorder="1" applyAlignment="1" applyProtection="1">
      <alignment horizontal="left" vertical="center"/>
      <protection locked="0"/>
    </xf>
    <xf numFmtId="0" fontId="4" fillId="40" borderId="11" xfId="0" applyNumberFormat="1" applyFont="1" applyFill="1" applyBorder="1" applyAlignment="1" applyProtection="1">
      <alignment horizontal="left" vertical="center"/>
      <protection locked="0"/>
    </xf>
    <xf numFmtId="0" fontId="5" fillId="0" borderId="10" xfId="0" applyNumberFormat="1" applyFont="1" applyBorder="1" applyAlignment="1">
      <alignment horizontal="left" vertical="center"/>
    </xf>
    <xf numFmtId="0" fontId="5" fillId="0" borderId="16" xfId="0" applyNumberFormat="1" applyFont="1" applyBorder="1" applyAlignment="1">
      <alignment horizontal="left" vertical="center"/>
    </xf>
    <xf numFmtId="0" fontId="5" fillId="0" borderId="11" xfId="0" applyNumberFormat="1" applyFont="1" applyBorder="1" applyAlignment="1">
      <alignment horizontal="lef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8" xfId="0" applyNumberFormat="1" applyFont="1" applyBorder="1" applyAlignment="1">
      <alignment horizontal="center" vertical="center" wrapText="1"/>
    </xf>
    <xf numFmtId="0" fontId="4" fillId="0" borderId="45" xfId="0" applyFont="1" applyBorder="1" applyAlignment="1" applyProtection="1">
      <alignment horizontal="center" vertical="center" wrapText="1"/>
      <protection hidden="1"/>
    </xf>
    <xf numFmtId="0" fontId="4" fillId="0" borderId="46" xfId="0" applyFont="1" applyBorder="1" applyAlignment="1" applyProtection="1">
      <alignment horizontal="center" vertical="center" wrapText="1"/>
      <protection hidden="1"/>
    </xf>
    <xf numFmtId="17" fontId="4" fillId="0" borderId="0" xfId="0" applyNumberFormat="1" applyFont="1" applyFill="1" applyBorder="1" applyAlignment="1">
      <alignment horizontal="justify" vertical="top" wrapText="1"/>
    </xf>
    <xf numFmtId="0" fontId="5"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CC"/>
      </font>
    </dxf>
    <dxf>
      <font>
        <color rgb="FFFFFFCC"/>
      </font>
    </dxf>
    <dxf>
      <font>
        <color rgb="FFFFFFCC"/>
      </font>
    </dxf>
    <dxf>
      <font>
        <color rgb="FFFFFFCC"/>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tabColor indexed="12"/>
  </sheetPr>
  <dimension ref="A1:BH93"/>
  <sheetViews>
    <sheetView showGridLines="0" tabSelected="1" view="pageBreakPreview" zoomScaleSheetLayoutView="100" workbookViewId="0" topLeftCell="A4">
      <selection activeCell="J8" sqref="J8"/>
    </sheetView>
  </sheetViews>
  <sheetFormatPr defaultColWidth="9.140625" defaultRowHeight="12" customHeight="1"/>
  <cols>
    <col min="1" max="1" width="4.57421875" style="8" customWidth="1"/>
    <col min="2" max="2" width="2.8515625" style="54" customWidth="1"/>
    <col min="3" max="3" width="7.421875" style="8" customWidth="1"/>
    <col min="4" max="4" width="8.57421875" style="8" customWidth="1"/>
    <col min="5" max="6" width="7.421875" style="8" customWidth="1"/>
    <col min="7" max="8" width="7.7109375" style="8" customWidth="1"/>
    <col min="9" max="10" width="7.421875" style="8" customWidth="1"/>
    <col min="11" max="12" width="8.140625" style="8" customWidth="1"/>
    <col min="13" max="16" width="7.421875" style="8" customWidth="1"/>
    <col min="17" max="18" width="8.28125" style="8" customWidth="1"/>
    <col min="19" max="19" width="8.140625" style="8" customWidth="1"/>
    <col min="20" max="20" width="5.7109375" style="47" customWidth="1"/>
    <col min="21" max="21" width="6.140625" style="47" customWidth="1"/>
    <col min="22" max="22" width="7.28125" style="47" customWidth="1"/>
    <col min="23" max="23" width="7.140625" style="47" customWidth="1"/>
    <col min="24" max="25" width="3.8515625" style="208" customWidth="1"/>
    <col min="26" max="27" width="6.00390625" style="46" bestFit="1" customWidth="1"/>
    <col min="28" max="28" width="5.00390625" style="46" bestFit="1" customWidth="1"/>
    <col min="29" max="29" width="5.7109375" style="46" customWidth="1"/>
    <col min="30" max="38" width="6.140625" style="47" customWidth="1"/>
    <col min="39" max="39" width="6.57421875" style="47" customWidth="1"/>
    <col min="40" max="40" width="11.57421875" style="47" customWidth="1"/>
    <col min="41" max="41" width="4.8515625" style="47" customWidth="1"/>
    <col min="42" max="42" width="15.28125" style="47" customWidth="1"/>
    <col min="43" max="44" width="6.00390625" style="47" customWidth="1"/>
    <col min="45" max="45" width="4.00390625" style="47" customWidth="1"/>
    <col min="46" max="46" width="14.8515625" style="47" customWidth="1"/>
    <col min="47" max="47" width="6.00390625" style="47" customWidth="1"/>
    <col min="48" max="48" width="7.00390625" style="47" customWidth="1"/>
    <col min="49" max="49" width="3.00390625" style="47" customWidth="1"/>
    <col min="50" max="50" width="6.00390625" style="47" customWidth="1"/>
    <col min="51" max="51" width="5.57421875" style="47" customWidth="1"/>
    <col min="52" max="53" width="5.57421875" style="155" customWidth="1"/>
    <col min="54" max="54" width="9.140625" style="23" customWidth="1"/>
    <col min="61" max="16384" width="9.140625" style="8" customWidth="1"/>
  </cols>
  <sheetData>
    <row r="1" spans="1:60" s="48" customFormat="1" ht="14.25" customHeight="1">
      <c r="A1" s="48" t="s">
        <v>129</v>
      </c>
      <c r="B1" s="51"/>
      <c r="Q1" s="209" t="e">
        <f>"Last Saved:- "&amp;TEXT(LASTSAVED(),"DD-MM-yyyy")</f>
        <v>#NAME?</v>
      </c>
      <c r="R1" s="209"/>
      <c r="S1" s="209"/>
      <c r="T1" s="149"/>
      <c r="U1" s="149"/>
      <c r="V1" s="149"/>
      <c r="W1" s="149"/>
      <c r="X1" s="202"/>
      <c r="Y1" s="202"/>
      <c r="Z1" s="202"/>
      <c r="AA1" s="202"/>
      <c r="AB1" s="202"/>
      <c r="AC1" s="202"/>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C1" s="49"/>
      <c r="BD1" s="49"/>
      <c r="BE1" s="49"/>
      <c r="BF1" s="49"/>
      <c r="BG1" s="49"/>
      <c r="BH1" s="49"/>
    </row>
    <row r="2" spans="1:53" s="3" customFormat="1" ht="12" customHeight="1">
      <c r="A2" s="223" t="s">
        <v>28</v>
      </c>
      <c r="B2" s="224"/>
      <c r="C2" s="224"/>
      <c r="D2" s="225"/>
      <c r="E2" s="229"/>
      <c r="F2" s="230"/>
      <c r="G2" s="231"/>
      <c r="H2" s="41" t="s">
        <v>163</v>
      </c>
      <c r="I2" s="216"/>
      <c r="J2" s="217"/>
      <c r="K2" s="4" t="s">
        <v>140</v>
      </c>
      <c r="L2" s="5"/>
      <c r="M2" s="218" t="str">
        <f>INDEX($AN$12:$AV$22,MATCH($E$3,$AN$12:$AN$22,0),3)</f>
        <v>13000-350-18250</v>
      </c>
      <c r="N2" s="219"/>
      <c r="O2" s="20" t="s">
        <v>148</v>
      </c>
      <c r="P2" s="157"/>
      <c r="Q2" s="11" t="s">
        <v>108</v>
      </c>
      <c r="R2" s="11" t="s">
        <v>109</v>
      </c>
      <c r="S2" s="160" t="s">
        <v>145</v>
      </c>
      <c r="T2" s="45"/>
      <c r="U2" s="46">
        <f>INDEX($AN$12:$AW$22,MATCH($E$3,$AN$12:$AN$22,0),10)</f>
        <v>3</v>
      </c>
      <c r="V2" s="45" t="str">
        <f>"CON1"</f>
        <v>CON1</v>
      </c>
      <c r="W2" s="45">
        <f>INDEX($AN$12:$AW$22,MATCH($X$2,$AW$12:$AW$22,0),9)</f>
        <v>58000</v>
      </c>
      <c r="X2" s="46">
        <f>U2+IF($I$7="NIL",0,1)+IF($I$8="NIL",0,1)</f>
        <v>5</v>
      </c>
      <c r="Y2" s="46"/>
      <c r="Z2" s="46"/>
      <c r="AA2" s="46"/>
      <c r="AB2" s="46"/>
      <c r="AC2" s="46"/>
      <c r="AD2" s="45"/>
      <c r="AE2" s="45"/>
      <c r="AF2" s="45"/>
      <c r="AG2" s="45"/>
      <c r="AH2" s="45"/>
      <c r="AI2" s="45"/>
      <c r="AJ2" s="45"/>
      <c r="AK2" s="45"/>
      <c r="AL2" s="45"/>
      <c r="AM2" s="45"/>
      <c r="AN2" s="45"/>
      <c r="AO2" s="45"/>
      <c r="AP2" s="45"/>
      <c r="AQ2" s="45"/>
      <c r="AR2" s="45"/>
      <c r="AS2" s="45"/>
      <c r="AT2" s="45"/>
      <c r="AU2" s="45"/>
      <c r="AV2" s="45"/>
      <c r="AW2" s="45"/>
      <c r="AX2" s="45"/>
      <c r="AY2" s="45"/>
      <c r="AZ2" s="45"/>
      <c r="BA2" s="45"/>
    </row>
    <row r="3" spans="1:53" s="3" customFormat="1" ht="12" customHeight="1">
      <c r="A3" s="20" t="s">
        <v>166</v>
      </c>
      <c r="B3" s="74"/>
      <c r="C3" s="74"/>
      <c r="E3" s="214" t="s">
        <v>31</v>
      </c>
      <c r="F3" s="215"/>
      <c r="G3" s="4" t="s">
        <v>153</v>
      </c>
      <c r="H3" s="74"/>
      <c r="I3" s="5"/>
      <c r="J3" s="10">
        <v>60</v>
      </c>
      <c r="K3" s="4" t="str">
        <f>"Initial P/Slab [ "&amp;INDEX($AN$12:$AV$22,MATCH($E$3,$AN$12:$AN$22,0),2)&amp;" ]"</f>
        <v>Initial P/Slab [ E3 ]</v>
      </c>
      <c r="L3" s="5"/>
      <c r="M3" s="227" t="str">
        <f>INDEX($AN$12:$AV$22,MATCH($E$3,$AN$12:$AN$22,0),7)</f>
        <v>24,900 - 50,500</v>
      </c>
      <c r="N3" s="228"/>
      <c r="O3" s="4" t="s">
        <v>110</v>
      </c>
      <c r="P3" s="5"/>
      <c r="Q3" s="180">
        <f>ROUNDUP(MIN(((MAX(Z12:Z89)*2+MAX(Z12:Z89)*2*MAX(AB12:AB89)%)*ROUND(J4,0)*15/26),1000000),0)</f>
        <v>1000000</v>
      </c>
      <c r="R3" s="180">
        <f>ROUNDUP(MIN(((MAX(AA12:AA89)*2+MAX(AA12:AA89)*2*MAX(AB12:AB89)%)*ROUND(J4,0)*15/26),1000000),0)</f>
        <v>1000000</v>
      </c>
      <c r="S3" s="165">
        <f>R3-Q3</f>
        <v>0</v>
      </c>
      <c r="T3" s="45"/>
      <c r="U3" s="45"/>
      <c r="V3" s="45"/>
      <c r="W3" s="45"/>
      <c r="X3" s="46"/>
      <c r="Y3" s="46"/>
      <c r="Z3" s="46"/>
      <c r="AA3" s="46"/>
      <c r="AB3" s="46"/>
      <c r="AC3" s="46"/>
      <c r="AD3" s="45"/>
      <c r="AE3" s="45"/>
      <c r="AF3" s="45"/>
      <c r="AG3" s="45"/>
      <c r="AH3" s="45"/>
      <c r="AI3" s="45"/>
      <c r="AJ3" s="45"/>
      <c r="AK3" s="45"/>
      <c r="AL3" s="45"/>
      <c r="AM3" s="45"/>
      <c r="AN3" s="45"/>
      <c r="AO3" s="45"/>
      <c r="AP3" s="45"/>
      <c r="AQ3" s="45"/>
      <c r="AR3" s="45"/>
      <c r="AS3" s="45"/>
      <c r="AT3" s="45"/>
      <c r="AU3" s="45"/>
      <c r="AV3" s="45"/>
      <c r="AW3" s="45"/>
      <c r="AX3" s="45"/>
      <c r="AY3" s="45"/>
      <c r="AZ3" s="45"/>
      <c r="BA3" s="45"/>
    </row>
    <row r="4" spans="1:53" s="3" customFormat="1" ht="12" customHeight="1">
      <c r="A4" s="232" t="s">
        <v>167</v>
      </c>
      <c r="B4" s="233"/>
      <c r="C4" s="233"/>
      <c r="D4" s="234"/>
      <c r="E4" s="214">
        <v>16850</v>
      </c>
      <c r="F4" s="215"/>
      <c r="G4" s="4" t="s">
        <v>149</v>
      </c>
      <c r="H4" s="74"/>
      <c r="I4" s="5"/>
      <c r="J4" s="156">
        <v>35</v>
      </c>
      <c r="K4" s="4" t="str">
        <f>"Last P/Slab   [ "&amp;INDEX($AN$12:$AW$22,MATCH($X$2,$AW$12:$AW$22,0),2)&amp;" ]"</f>
        <v>Last P/Slab   [ E5 ]</v>
      </c>
      <c r="L4" s="5"/>
      <c r="M4" s="218" t="str">
        <f>INDEX($AN$12:$AW$22,MATCH($X$2,$AW$12:$AW$22,0),7)</f>
        <v>32,900 - 58,000</v>
      </c>
      <c r="N4" s="219"/>
      <c r="O4" s="4" t="s">
        <v>111</v>
      </c>
      <c r="P4" s="5"/>
      <c r="Q4" s="180">
        <f>ROUNDUP(MIN(MAX(Z12:Z89),45000)*J6*12*LOOKUP(J3,AZ12:BA80),0)</f>
        <v>905140</v>
      </c>
      <c r="R4" s="180">
        <f>ROUNDUP(MIN(MAX(AA12:AA89),45000)*J6*12*LOOKUP(J3,AZ12:BA80),0)</f>
        <v>955458</v>
      </c>
      <c r="S4" s="165">
        <f>R4-Q4</f>
        <v>50318</v>
      </c>
      <c r="T4" s="152"/>
      <c r="U4" s="152"/>
      <c r="V4" s="152"/>
      <c r="W4" s="152"/>
      <c r="X4" s="46"/>
      <c r="Y4" s="46"/>
      <c r="Z4" s="46"/>
      <c r="AA4" s="46"/>
      <c r="AB4" s="46"/>
      <c r="AC4" s="46"/>
      <c r="AD4" s="45"/>
      <c r="AE4" s="45"/>
      <c r="AF4" s="45"/>
      <c r="AG4" s="45"/>
      <c r="AH4" s="45"/>
      <c r="AI4" s="45"/>
      <c r="AJ4" s="45"/>
      <c r="AK4" s="45"/>
      <c r="AL4" s="45"/>
      <c r="AM4" s="45"/>
      <c r="AN4" s="45"/>
      <c r="AO4" s="45"/>
      <c r="AP4" s="45"/>
      <c r="AQ4" s="45"/>
      <c r="AR4" s="45"/>
      <c r="AS4" s="45"/>
      <c r="AT4" s="45"/>
      <c r="AU4" s="45"/>
      <c r="AV4" s="45"/>
      <c r="AW4" s="45"/>
      <c r="AX4" s="45"/>
      <c r="AY4" s="45"/>
      <c r="AZ4" s="45"/>
      <c r="BA4" s="45"/>
    </row>
    <row r="5" spans="1:53" s="3" customFormat="1" ht="12" customHeight="1">
      <c r="A5" s="232" t="s">
        <v>168</v>
      </c>
      <c r="B5" s="233"/>
      <c r="C5" s="233"/>
      <c r="D5" s="234"/>
      <c r="E5" s="214" t="s">
        <v>14</v>
      </c>
      <c r="F5" s="215"/>
      <c r="G5" s="4" t="s">
        <v>144</v>
      </c>
      <c r="H5" s="74"/>
      <c r="I5" s="5"/>
      <c r="J5" s="73">
        <v>300</v>
      </c>
      <c r="K5" s="4" t="s">
        <v>90</v>
      </c>
      <c r="L5" s="5"/>
      <c r="M5" s="182">
        <f>IF($E$6="A",30%,IF($E$6="A-1",15%,IF($E$6="B-1",15%,IF($E$6="B-2",15%,IF($E$6="C",7.5%,IF($E$6="UC",5%,0))))))</f>
        <v>0.15</v>
      </c>
      <c r="N5" s="183">
        <f>IF($M$5=30%,30%,IF($M$5=15%,20%,10%))</f>
        <v>0.2</v>
      </c>
      <c r="O5" s="4" t="s">
        <v>112</v>
      </c>
      <c r="P5" s="5"/>
      <c r="Q5" s="180">
        <f>ROUNDUP((MAX(Z12:Z89)*2+MAX(Z12:Z89)*2*MAX(AB12:AB89)%)*(J5/30),0)</f>
        <v>713142</v>
      </c>
      <c r="R5" s="180">
        <f>ROUNDUP((MAX(AA12:AA89)*2+MAX(AA12:AA89)*2*MAX(AB12:AB89)%)*(J5/30),0)</f>
        <v>752787</v>
      </c>
      <c r="S5" s="165">
        <f>R5-Q5</f>
        <v>39645</v>
      </c>
      <c r="T5" s="152"/>
      <c r="U5" s="226"/>
      <c r="V5" s="226"/>
      <c r="W5" s="204"/>
      <c r="X5" s="46"/>
      <c r="Y5" s="46"/>
      <c r="Z5" s="46"/>
      <c r="AA5" s="46"/>
      <c r="AB5" s="46"/>
      <c r="AC5" s="46"/>
      <c r="AD5" s="45"/>
      <c r="AE5" s="45"/>
      <c r="AF5" s="45"/>
      <c r="AG5" s="45"/>
      <c r="AH5" s="45"/>
      <c r="AI5" s="45"/>
      <c r="AJ5" s="45"/>
      <c r="AK5" s="45"/>
      <c r="AL5" s="45"/>
      <c r="AM5" s="45"/>
      <c r="AN5" s="45"/>
      <c r="AO5" s="45"/>
      <c r="AP5" s="45"/>
      <c r="AQ5" s="45"/>
      <c r="AR5" s="45"/>
      <c r="AS5" s="45"/>
      <c r="AT5" s="45"/>
      <c r="AU5" s="45"/>
      <c r="AV5" s="45"/>
      <c r="AW5" s="45"/>
      <c r="AX5" s="45"/>
      <c r="AY5" s="45"/>
      <c r="AZ5" s="45"/>
      <c r="BA5" s="45"/>
    </row>
    <row r="6" spans="1:53" s="3" customFormat="1" ht="12" customHeight="1">
      <c r="A6" s="223" t="s">
        <v>160</v>
      </c>
      <c r="B6" s="224"/>
      <c r="C6" s="224"/>
      <c r="D6" s="225"/>
      <c r="E6" s="10" t="s">
        <v>92</v>
      </c>
      <c r="F6" s="188" t="str">
        <f>INDEX($AN$12:$AV$22,MATCH($E$3,$AN$12:$AN$22,0),2)</f>
        <v>E3</v>
      </c>
      <c r="G6" s="4" t="s">
        <v>154</v>
      </c>
      <c r="H6" s="74"/>
      <c r="I6" s="5"/>
      <c r="J6" s="43">
        <v>0.4</v>
      </c>
      <c r="K6" s="56" t="s">
        <v>152</v>
      </c>
      <c r="L6" s="74"/>
      <c r="M6" s="5"/>
      <c r="N6" s="181">
        <f>ROUNDUP(MIN(MAX(Z12:Z89),45000)-MIN(MAX(Z12:Z89),45000)*J6,0)</f>
        <v>13653</v>
      </c>
      <c r="O6" s="4" t="s">
        <v>157</v>
      </c>
      <c r="P6" s="74"/>
      <c r="Q6" s="74"/>
      <c r="R6" s="22"/>
      <c r="S6" s="165">
        <f>SUM(AC12:AC89)</f>
        <v>169326</v>
      </c>
      <c r="T6" s="152"/>
      <c r="U6" s="45"/>
      <c r="V6" s="45"/>
      <c r="W6" s="152"/>
      <c r="X6" s="46"/>
      <c r="Y6" s="46"/>
      <c r="Z6" s="46"/>
      <c r="AA6" s="46"/>
      <c r="AB6" s="46"/>
      <c r="AC6" s="46"/>
      <c r="AD6" s="45"/>
      <c r="AE6" s="45"/>
      <c r="AF6" s="45"/>
      <c r="AG6" s="45"/>
      <c r="AH6" s="45"/>
      <c r="AI6" s="45"/>
      <c r="AJ6" s="45"/>
      <c r="AK6" s="45"/>
      <c r="AL6" s="45"/>
      <c r="AM6" s="45"/>
      <c r="AN6" s="45"/>
      <c r="AO6" s="45"/>
      <c r="AP6" s="45"/>
      <c r="AQ6" s="45"/>
      <c r="AR6" s="45"/>
      <c r="AS6" s="45"/>
      <c r="AT6" s="45"/>
      <c r="AU6" s="45"/>
      <c r="AV6" s="45"/>
      <c r="AW6" s="45"/>
      <c r="AX6" s="45"/>
      <c r="AY6" s="45"/>
      <c r="AZ6" s="45"/>
      <c r="BA6" s="45"/>
    </row>
    <row r="7" spans="1:53" s="3" customFormat="1" ht="12" customHeight="1">
      <c r="A7" s="3" t="s">
        <v>159</v>
      </c>
      <c r="B7" s="74"/>
      <c r="C7" s="74"/>
      <c r="D7" s="5"/>
      <c r="E7" s="10" t="s">
        <v>91</v>
      </c>
      <c r="F7" s="10" t="s">
        <v>32</v>
      </c>
      <c r="G7" s="158" t="s">
        <v>150</v>
      </c>
      <c r="I7" s="159" t="s">
        <v>14</v>
      </c>
      <c r="J7" s="10">
        <v>2009</v>
      </c>
      <c r="K7" s="56" t="s">
        <v>165</v>
      </c>
      <c r="L7" s="120"/>
      <c r="M7" s="121"/>
      <c r="N7" s="181">
        <f>MAX($AA$12:$AA$89)-(MAX($Z$12:$Z$89)-$N$6)</f>
        <v>14918</v>
      </c>
      <c r="O7" s="4" t="s">
        <v>156</v>
      </c>
      <c r="P7" s="74"/>
      <c r="Q7" s="74"/>
      <c r="R7" s="5"/>
      <c r="S7" s="165">
        <f>SUM(S12:S89)-S6</f>
        <v>35974.899999999994</v>
      </c>
      <c r="T7" s="45"/>
      <c r="U7" s="46"/>
      <c r="V7" s="45"/>
      <c r="W7" s="45"/>
      <c r="X7" s="46"/>
      <c r="Y7" s="46"/>
      <c r="Z7" s="46"/>
      <c r="AA7" s="46"/>
      <c r="AB7" s="46"/>
      <c r="AC7" s="46"/>
      <c r="AD7" s="45"/>
      <c r="AE7" s="45"/>
      <c r="AF7" s="45"/>
      <c r="AG7" s="45"/>
      <c r="AH7" s="45"/>
      <c r="AI7" s="45"/>
      <c r="AJ7" s="45"/>
      <c r="AK7" s="45"/>
      <c r="AL7" s="45"/>
      <c r="AM7" s="45"/>
      <c r="AN7" s="45"/>
      <c r="AO7" s="45"/>
      <c r="AP7" s="45"/>
      <c r="AQ7" s="45"/>
      <c r="AR7" s="45"/>
      <c r="AS7" s="45"/>
      <c r="AT7" s="45"/>
      <c r="AU7" s="45"/>
      <c r="AV7" s="45"/>
      <c r="AW7" s="45"/>
      <c r="AX7" s="45"/>
      <c r="AY7" s="45"/>
      <c r="AZ7" s="45"/>
      <c r="BA7" s="45"/>
    </row>
    <row r="8" spans="1:53" s="24" customFormat="1" ht="12" customHeight="1">
      <c r="A8" s="20" t="s">
        <v>107</v>
      </c>
      <c r="B8" s="120"/>
      <c r="C8" s="120"/>
      <c r="D8" s="121"/>
      <c r="E8" s="10" t="s">
        <v>11</v>
      </c>
      <c r="F8" s="10">
        <v>2011</v>
      </c>
      <c r="G8" s="21" t="s">
        <v>151</v>
      </c>
      <c r="H8" s="74"/>
      <c r="I8" s="10" t="s">
        <v>0</v>
      </c>
      <c r="J8" s="10">
        <v>2011</v>
      </c>
      <c r="K8" s="21" t="s">
        <v>164</v>
      </c>
      <c r="L8" s="74"/>
      <c r="M8" s="10" t="s">
        <v>142</v>
      </c>
      <c r="N8" s="10">
        <v>2011</v>
      </c>
      <c r="O8" s="56" t="s">
        <v>158</v>
      </c>
      <c r="P8" s="120"/>
      <c r="Q8" s="120"/>
      <c r="R8" s="121"/>
      <c r="S8" s="161">
        <f>ARREAR!J48</f>
        <v>95326</v>
      </c>
      <c r="T8" s="150"/>
      <c r="U8" s="205"/>
      <c r="V8" s="206"/>
      <c r="W8" s="206"/>
      <c r="X8" s="203"/>
      <c r="Y8" s="203"/>
      <c r="Z8" s="207"/>
      <c r="AA8" s="207"/>
      <c r="AB8" s="207"/>
      <c r="AC8" s="207"/>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row>
    <row r="9" spans="1:53" s="24" customFormat="1" ht="18" customHeight="1">
      <c r="A9" s="125" t="s">
        <v>147</v>
      </c>
      <c r="B9" s="52"/>
      <c r="C9" s="25"/>
      <c r="D9" s="25"/>
      <c r="F9" s="26"/>
      <c r="I9" s="55"/>
      <c r="L9" s="25"/>
      <c r="M9" s="27"/>
      <c r="N9" s="26"/>
      <c r="O9" s="26"/>
      <c r="P9" s="27"/>
      <c r="Q9" s="28"/>
      <c r="S9" s="42"/>
      <c r="T9" s="150"/>
      <c r="U9" s="150"/>
      <c r="V9" s="150"/>
      <c r="W9" s="150"/>
      <c r="X9" s="207"/>
      <c r="Y9" s="207"/>
      <c r="Z9" s="207"/>
      <c r="AA9" s="207"/>
      <c r="AB9" s="207"/>
      <c r="AC9" s="207"/>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row>
    <row r="10" spans="1:53" s="3" customFormat="1" ht="12" customHeight="1">
      <c r="A10" s="210" t="s">
        <v>4</v>
      </c>
      <c r="B10" s="211"/>
      <c r="C10" s="221" t="s">
        <v>102</v>
      </c>
      <c r="D10" s="222"/>
      <c r="E10" s="222"/>
      <c r="F10" s="222"/>
      <c r="G10" s="222"/>
      <c r="H10" s="222"/>
      <c r="I10" s="222"/>
      <c r="J10" s="222"/>
      <c r="K10" s="222" t="s">
        <v>103</v>
      </c>
      <c r="L10" s="222"/>
      <c r="M10" s="222"/>
      <c r="N10" s="222"/>
      <c r="O10" s="222"/>
      <c r="P10" s="222"/>
      <c r="Q10" s="222"/>
      <c r="R10" s="222"/>
      <c r="S10" s="220" t="s">
        <v>9</v>
      </c>
      <c r="T10" s="45"/>
      <c r="U10" s="46" t="s">
        <v>130</v>
      </c>
      <c r="V10" s="46" t="s">
        <v>131</v>
      </c>
      <c r="W10" s="46" t="s">
        <v>132</v>
      </c>
      <c r="X10" s="46"/>
      <c r="Y10" s="46"/>
      <c r="Z10" s="46"/>
      <c r="AA10" s="46"/>
      <c r="AB10" s="46"/>
      <c r="AC10" s="46"/>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row>
    <row r="11" spans="1:53" s="3" customFormat="1" ht="12" customHeight="1">
      <c r="A11" s="212"/>
      <c r="B11" s="213"/>
      <c r="C11" s="11" t="s">
        <v>30</v>
      </c>
      <c r="D11" s="12" t="s">
        <v>6</v>
      </c>
      <c r="E11" s="12" t="s">
        <v>1</v>
      </c>
      <c r="F11" s="12" t="s">
        <v>7</v>
      </c>
      <c r="G11" s="12" t="s">
        <v>29</v>
      </c>
      <c r="H11" s="12" t="s">
        <v>8</v>
      </c>
      <c r="I11" s="12" t="s">
        <v>25</v>
      </c>
      <c r="J11" s="11" t="s">
        <v>22</v>
      </c>
      <c r="K11" s="11" t="s">
        <v>30</v>
      </c>
      <c r="L11" s="12" t="s">
        <v>6</v>
      </c>
      <c r="M11" s="12" t="s">
        <v>1</v>
      </c>
      <c r="N11" s="12" t="s">
        <v>7</v>
      </c>
      <c r="O11" s="12" t="s">
        <v>29</v>
      </c>
      <c r="P11" s="12" t="s">
        <v>8</v>
      </c>
      <c r="Q11" s="12" t="s">
        <v>25</v>
      </c>
      <c r="R11" s="11" t="s">
        <v>22</v>
      </c>
      <c r="S11" s="220"/>
      <c r="T11" s="45"/>
      <c r="U11" s="45">
        <f>IF('Manual Data'!E11=1,MIN(IF(OR(OR($F$6="E9",$F$6="E9A",$F$6="DIR",$F$6="CMD")*AND(BUN1&gt;0),($F$6="E7")*AND(BUN1=1)),BUNF1,MAX(ROUNDUP(((W11*130%)*168.8%),-1),NBPL1)),NBPH1),'Manual Data'!E11)</f>
        <v>36980</v>
      </c>
      <c r="V11" s="45">
        <f>IF('Manual Data'!E11=1,MIN(IF(OR(OR($F$6="E9",$F$6="E9A",$F$6="DIR",$F$6="CMD")*AND(BUN1&gt;0),($F$6="E7")*AND(BUN1=1)),BUNF1,MAX(ROUNDUP(((W11*130%)*178.2%),-1),NBPL1)),NBPH1),'Manual Data'!E11)</f>
        <v>39040</v>
      </c>
      <c r="W11" s="45">
        <f>IF('Manual Data'!D11=1,MIN($E$4,OBPH1),'Manual Data'!D11)</f>
        <v>16850</v>
      </c>
      <c r="X11" s="46">
        <v>1</v>
      </c>
      <c r="Y11" s="46"/>
      <c r="Z11" s="46"/>
      <c r="AA11" s="46"/>
      <c r="AB11" s="46"/>
      <c r="AC11" s="46"/>
      <c r="AD11" s="45"/>
      <c r="AE11" s="45"/>
      <c r="AF11" s="45"/>
      <c r="AG11" s="45"/>
      <c r="AH11" s="45"/>
      <c r="AI11" s="45"/>
      <c r="AJ11" s="45"/>
      <c r="AK11" s="45"/>
      <c r="AL11" s="45"/>
      <c r="AM11" s="45"/>
      <c r="AN11" s="45"/>
      <c r="AO11" s="45"/>
      <c r="AP11" s="45"/>
      <c r="AQ11" s="45"/>
      <c r="AR11" s="45"/>
      <c r="AS11" s="45"/>
      <c r="AT11" s="45"/>
      <c r="AU11" s="45"/>
      <c r="AV11" s="45"/>
      <c r="AW11" s="45"/>
      <c r="AX11" s="45"/>
      <c r="AY11" s="45"/>
      <c r="AZ11" s="46" t="s">
        <v>127</v>
      </c>
      <c r="BA11" s="46" t="s">
        <v>128</v>
      </c>
    </row>
    <row r="12" spans="1:53" s="3" customFormat="1" ht="12" customHeight="1">
      <c r="A12" s="13" t="s">
        <v>12</v>
      </c>
      <c r="B12" s="53" t="s">
        <v>21</v>
      </c>
      <c r="C12" s="14">
        <f aca="true" t="shared" si="0" ref="C12:C43">IF(X12=1,U12*X12,ROUNDUP(MIN(MAX($Z$12:$Z$89),45000)-MIN(MAX($Z$12:$Z$89),45000)*$J$6,0))</f>
        <v>36980</v>
      </c>
      <c r="D12" s="15">
        <f>ROUND(C12*0%,0)</f>
        <v>0</v>
      </c>
      <c r="E12" s="15">
        <f aca="true" t="shared" si="1" ref="E12:E34">IF(X12=1,AG12,0)</f>
        <v>3791</v>
      </c>
      <c r="F12" s="15">
        <f aca="true" t="shared" si="2" ref="F12:F37">IF(X12=1,AH12,0)</f>
        <v>1400</v>
      </c>
      <c r="G12" s="15">
        <f aca="true" t="shared" si="3" ref="G12:G37">IF(X12=1,AI12,0)</f>
        <v>337</v>
      </c>
      <c r="H12" s="15">
        <f aca="true" t="shared" si="4" ref="H12:H37">IF(X12=1,AJ12,0)</f>
        <v>337</v>
      </c>
      <c r="I12" s="15">
        <f aca="true" t="shared" si="5" ref="I12:I38">AK12</f>
        <v>240</v>
      </c>
      <c r="J12" s="14">
        <f aca="true" t="shared" si="6" ref="J12:J43">SUM(C12:I12)</f>
        <v>43085</v>
      </c>
      <c r="K12" s="14">
        <f aca="true" t="shared" si="7" ref="K12:K43">IF(X12=1,V12*X12,(MAX($AA$12:$AA$89)-(MAX($Z$12:$Z$89)-$N$6)))</f>
        <v>39040</v>
      </c>
      <c r="L12" s="15">
        <f>ROUND(K12*0%,0)</f>
        <v>0</v>
      </c>
      <c r="M12" s="15">
        <f>E12</f>
        <v>3791</v>
      </c>
      <c r="N12" s="15">
        <f>F12</f>
        <v>1400</v>
      </c>
      <c r="O12" s="15">
        <f>G12</f>
        <v>337</v>
      </c>
      <c r="P12" s="15">
        <f>H12</f>
        <v>337</v>
      </c>
      <c r="Q12" s="15">
        <f>I12</f>
        <v>240</v>
      </c>
      <c r="R12" s="14">
        <f>SUM(K12:Q12)</f>
        <v>45145</v>
      </c>
      <c r="S12" s="14">
        <f aca="true" t="shared" si="8" ref="S12:S37">R12-J12</f>
        <v>2060</v>
      </c>
      <c r="T12" s="47"/>
      <c r="U12" s="70">
        <f>MIN(ROUNDUP(IF('Manual Data'!E11=1,IF(A12='Manual Data'!N11,ROUND(U11*103%-0.01,0),U11),'Manual Data'!E11),-1),NBPH1)</f>
        <v>36980</v>
      </c>
      <c r="V12" s="70">
        <f>MIN(ROUNDUP(IF('Manual Data'!H11=1,IF(A12='Manual Data'!N11,ROUND(V11*103%-0.01,0),V11),'Manual Data'!H11),-1),HPS)</f>
        <v>39040</v>
      </c>
      <c r="W12" s="70">
        <f>MIN(IF('Manual Data'!D11=1,IF(A12='Manual Data'!N11,W11+'Manual Data'!O11,W11),'Manual Data'!D11),OBPH1)</f>
        <v>16850</v>
      </c>
      <c r="X12" s="46">
        <f aca="true" t="shared" si="9" ref="X12:X43">MIN(IF(A11&amp;"20"&amp;B11=$E$8&amp;$F$8,0.5,1),X11)</f>
        <v>1</v>
      </c>
      <c r="Y12" s="46">
        <f>IF(X11=X12,0,1)</f>
        <v>0</v>
      </c>
      <c r="Z12" s="46">
        <f aca="true" t="shared" si="10" ref="Z12:Z43">(U12/2)*Y12</f>
        <v>0</v>
      </c>
      <c r="AA12" s="46">
        <f aca="true" t="shared" si="11" ref="AA12:AA43">(V12/2)*Y12</f>
        <v>0</v>
      </c>
      <c r="AB12" s="46">
        <f aca="true" t="shared" si="12" ref="AB12:AB43">T12*Y12</f>
        <v>0</v>
      </c>
      <c r="AC12" s="46">
        <f aca="true" t="shared" si="13" ref="AC12:AC43">IF(X12=1,S12,0)</f>
        <v>2060</v>
      </c>
      <c r="AD12" s="151">
        <f aca="true" t="shared" si="14" ref="AD12:AD37">IF(X12=1,W12*X12,0)</f>
        <v>16850</v>
      </c>
      <c r="AE12" s="152">
        <f aca="true" t="shared" si="15" ref="AE12:AE37">ROUNDUP(AD12/2,0)</f>
        <v>8425</v>
      </c>
      <c r="AF12" s="152">
        <f>ROUND((AD12+AE12)*18.8%,0)</f>
        <v>4752</v>
      </c>
      <c r="AG12" s="152">
        <f>IF(X12=1,IF($E$7="No",ROUND((AD12+AE12)*IF('Manual Data'!F11=1%,$M$5,'Manual Data'!F11),0),0),0)</f>
        <v>3791</v>
      </c>
      <c r="AH12" s="152">
        <f>IF(X12=1,IF(AD13=0,0,IF($F$7="Yes",IF('Manual Data'!G11=1,IF(OR($E$6="A",$E$6="A-1"),IF(OR($F$6="E1A",$F$6="E2A"),800,1400),IF(NOT(OR($F$6="E1A",$F$6="E2A")),800,500)),'Manual Data'!G11),0)),0)</f>
        <v>1400</v>
      </c>
      <c r="AI12" s="152">
        <f aca="true" t="shared" si="16" ref="AI12:AI37">IF(X12=1,ROUND(AD12*2%,0),0)</f>
        <v>337</v>
      </c>
      <c r="AJ12" s="152">
        <f aca="true" t="shared" si="17" ref="AJ12:AJ37">IF(X12=1,ROUND(AD12*2%,0),0)</f>
        <v>337</v>
      </c>
      <c r="AK12" s="152">
        <f aca="true" t="shared" si="18" ref="AK12:AK37">IF(X12=1,IF(AD12=0,0,IF($E$6="A",300,IF($E$6="A-1",240,IF($E$6="B-1",180,IF($E$6="B-2",120,0))))),0)</f>
        <v>240</v>
      </c>
      <c r="AL12" s="153">
        <f>SUM(AD12:AK12)</f>
        <v>36132</v>
      </c>
      <c r="AM12" s="45"/>
      <c r="AN12" s="45" t="s">
        <v>45</v>
      </c>
      <c r="AO12" s="45" t="s">
        <v>33</v>
      </c>
      <c r="AP12" s="45" t="s">
        <v>53</v>
      </c>
      <c r="AQ12" s="45">
        <v>9850</v>
      </c>
      <c r="AR12" s="45">
        <v>14600</v>
      </c>
      <c r="AS12" s="45">
        <v>250</v>
      </c>
      <c r="AT12" s="45" t="s">
        <v>64</v>
      </c>
      <c r="AU12" s="45">
        <v>16400</v>
      </c>
      <c r="AV12" s="45">
        <v>40500</v>
      </c>
      <c r="AW12" s="45">
        <v>1</v>
      </c>
      <c r="AX12" s="45">
        <f>ROUNDUP(NBPL1*103%,-1)</f>
        <v>25650</v>
      </c>
      <c r="AY12" s="45" t="s">
        <v>75</v>
      </c>
      <c r="AZ12" s="46">
        <v>17</v>
      </c>
      <c r="BA12" s="46"/>
    </row>
    <row r="13" spans="1:53" s="3" customFormat="1" ht="12" customHeight="1">
      <c r="A13" s="9" t="s">
        <v>13</v>
      </c>
      <c r="B13" s="53" t="s">
        <v>21</v>
      </c>
      <c r="C13" s="14">
        <f t="shared" si="0"/>
        <v>36980</v>
      </c>
      <c r="D13" s="15">
        <f aca="true" t="shared" si="19" ref="D13:D44">ROUND(C13*T13%,0)</f>
        <v>0</v>
      </c>
      <c r="E13" s="15">
        <f t="shared" si="1"/>
        <v>3791</v>
      </c>
      <c r="F13" s="15">
        <f t="shared" si="2"/>
        <v>1400</v>
      </c>
      <c r="G13" s="15">
        <f t="shared" si="3"/>
        <v>337</v>
      </c>
      <c r="H13" s="15">
        <f t="shared" si="4"/>
        <v>337</v>
      </c>
      <c r="I13" s="15">
        <f t="shared" si="5"/>
        <v>240</v>
      </c>
      <c r="J13" s="14">
        <f t="shared" si="6"/>
        <v>43085</v>
      </c>
      <c r="K13" s="14">
        <f t="shared" si="7"/>
        <v>39040</v>
      </c>
      <c r="L13" s="15">
        <f aca="true" t="shared" si="20" ref="L13:L44">ROUND(K13*T13%,0)</f>
        <v>0</v>
      </c>
      <c r="M13" s="15">
        <f aca="true" t="shared" si="21" ref="M13:M37">E13</f>
        <v>3791</v>
      </c>
      <c r="N13" s="15">
        <f aca="true" t="shared" si="22" ref="N13:N37">F13</f>
        <v>1400</v>
      </c>
      <c r="O13" s="15">
        <f aca="true" t="shared" si="23" ref="O13:O37">G13</f>
        <v>337</v>
      </c>
      <c r="P13" s="15">
        <f aca="true" t="shared" si="24" ref="P13:P37">H13</f>
        <v>337</v>
      </c>
      <c r="Q13" s="15">
        <f aca="true" t="shared" si="25" ref="Q13:Q37">I13</f>
        <v>240</v>
      </c>
      <c r="R13" s="14">
        <f aca="true" t="shared" si="26" ref="R13:R37">SUM(K13:Q13)</f>
        <v>45145</v>
      </c>
      <c r="S13" s="14">
        <f t="shared" si="8"/>
        <v>2060</v>
      </c>
      <c r="T13" s="47">
        <v>0</v>
      </c>
      <c r="U13" s="70">
        <f>MIN(ROUNDUP(IF('Manual Data'!E12=1,IF(A13='Manual Data'!N12,ROUND(U12*103%-0.01,0),U12),'Manual Data'!E12),-1),NBPH1)</f>
        <v>36980</v>
      </c>
      <c r="V13" s="70">
        <f>MIN(ROUNDUP(IF('Manual Data'!H12=1,IF(A13='Manual Data'!N12,ROUND(V12*103%-0.01,0),V12),'Manual Data'!H12),-1),HPS)</f>
        <v>39040</v>
      </c>
      <c r="W13" s="70">
        <f>MIN(IF('Manual Data'!D12=1,IF(A13='Manual Data'!N12,W12+'Manual Data'!O12,W12),'Manual Data'!D12),OBPH1)</f>
        <v>16850</v>
      </c>
      <c r="X13" s="46">
        <f t="shared" si="9"/>
        <v>1</v>
      </c>
      <c r="Y13" s="46">
        <f aca="true" t="shared" si="27" ref="Y13:Y63">IF(X12=X13,0,1)</f>
        <v>0</v>
      </c>
      <c r="Z13" s="46">
        <f t="shared" si="10"/>
        <v>0</v>
      </c>
      <c r="AA13" s="46">
        <f t="shared" si="11"/>
        <v>0</v>
      </c>
      <c r="AB13" s="46">
        <f t="shared" si="12"/>
        <v>0</v>
      </c>
      <c r="AC13" s="46">
        <f t="shared" si="13"/>
        <v>2060</v>
      </c>
      <c r="AD13" s="151">
        <f t="shared" si="14"/>
        <v>16850</v>
      </c>
      <c r="AE13" s="152">
        <f t="shared" si="15"/>
        <v>8425</v>
      </c>
      <c r="AF13" s="152">
        <f>ROUND((AD13+AE13)*18.8%,0)</f>
        <v>4752</v>
      </c>
      <c r="AG13" s="152">
        <f>IF(X13=1,IF($E$7="No",ROUND((AD13+AE13)*IF('Manual Data'!F12=1%,$M$5,'Manual Data'!F12),0),0),0)</f>
        <v>3791</v>
      </c>
      <c r="AH13" s="152">
        <f>IF(X13=1,IF(AD14=0,0,IF($F$7="Yes",IF('Manual Data'!G12=1,IF(OR($E$6="A",$E$6="A-1"),IF(OR($F$6="E1A",$F$6="E2A"),800,1400),IF(NOT(OR($F$6="E1A",$F$6="E2A")),800,500)),'Manual Data'!G12),0)),0)</f>
        <v>1400</v>
      </c>
      <c r="AI13" s="152">
        <f t="shared" si="16"/>
        <v>337</v>
      </c>
      <c r="AJ13" s="152">
        <f t="shared" si="17"/>
        <v>337</v>
      </c>
      <c r="AK13" s="152">
        <f t="shared" si="18"/>
        <v>240</v>
      </c>
      <c r="AL13" s="153">
        <f aca="true" t="shared" si="28" ref="AL13:AL36">SUM(AD13:AK13)</f>
        <v>36132</v>
      </c>
      <c r="AM13" s="45"/>
      <c r="AN13" s="45" t="s">
        <v>44</v>
      </c>
      <c r="AO13" s="45" t="s">
        <v>34</v>
      </c>
      <c r="AP13" s="45" t="s">
        <v>54</v>
      </c>
      <c r="AQ13" s="45">
        <v>11875</v>
      </c>
      <c r="AR13" s="45">
        <v>17275</v>
      </c>
      <c r="AS13" s="45">
        <v>300</v>
      </c>
      <c r="AT13" s="45" t="s">
        <v>65</v>
      </c>
      <c r="AU13" s="45">
        <v>20600</v>
      </c>
      <c r="AV13" s="45">
        <v>46500</v>
      </c>
      <c r="AW13" s="45">
        <v>2</v>
      </c>
      <c r="AX13" s="45">
        <f>ROUNDUP(AX12*103%,-1)</f>
        <v>26420</v>
      </c>
      <c r="AY13" s="45" t="s">
        <v>76</v>
      </c>
      <c r="AZ13" s="46">
        <v>18</v>
      </c>
      <c r="BA13" s="46"/>
    </row>
    <row r="14" spans="1:53" s="3" customFormat="1" ht="12" customHeight="1">
      <c r="A14" s="9" t="s">
        <v>14</v>
      </c>
      <c r="B14" s="53" t="s">
        <v>21</v>
      </c>
      <c r="C14" s="14">
        <f t="shared" si="0"/>
        <v>38090</v>
      </c>
      <c r="D14" s="15">
        <f t="shared" si="19"/>
        <v>0</v>
      </c>
      <c r="E14" s="15">
        <f t="shared" si="1"/>
        <v>3870</v>
      </c>
      <c r="F14" s="15">
        <f t="shared" si="2"/>
        <v>1400</v>
      </c>
      <c r="G14" s="15">
        <f t="shared" si="3"/>
        <v>344</v>
      </c>
      <c r="H14" s="15">
        <f t="shared" si="4"/>
        <v>344</v>
      </c>
      <c r="I14" s="15">
        <f t="shared" si="5"/>
        <v>240</v>
      </c>
      <c r="J14" s="14">
        <f t="shared" si="6"/>
        <v>44288</v>
      </c>
      <c r="K14" s="14">
        <f t="shared" si="7"/>
        <v>40220</v>
      </c>
      <c r="L14" s="15">
        <f t="shared" si="20"/>
        <v>0</v>
      </c>
      <c r="M14" s="15">
        <f t="shared" si="21"/>
        <v>3870</v>
      </c>
      <c r="N14" s="15">
        <f t="shared" si="22"/>
        <v>1400</v>
      </c>
      <c r="O14" s="15">
        <f t="shared" si="23"/>
        <v>344</v>
      </c>
      <c r="P14" s="15">
        <f t="shared" si="24"/>
        <v>344</v>
      </c>
      <c r="Q14" s="15">
        <f t="shared" si="25"/>
        <v>240</v>
      </c>
      <c r="R14" s="14">
        <f t="shared" si="26"/>
        <v>46418</v>
      </c>
      <c r="S14" s="14">
        <f t="shared" si="8"/>
        <v>2130</v>
      </c>
      <c r="T14" s="47">
        <v>0</v>
      </c>
      <c r="U14" s="70">
        <f>MIN(ROUNDUP(IF('Manual Data'!E13=1,IF(A14='Manual Data'!N13,ROUND(U13*103%-0.01,0),U13),'Manual Data'!E13),-1),NBPH1)</f>
        <v>38090</v>
      </c>
      <c r="V14" s="70">
        <f>MIN(ROUNDUP(IF('Manual Data'!H13=1,IF(A14='Manual Data'!N13,ROUND(V13*103%-0.01,0),V13),'Manual Data'!H13),-1),HPS)</f>
        <v>40220</v>
      </c>
      <c r="W14" s="70">
        <f>MIN(IF('Manual Data'!D13=1,IF(A14='Manual Data'!N13,W13+'Manual Data'!O13,W13),'Manual Data'!D13),OBPH1)</f>
        <v>17200</v>
      </c>
      <c r="X14" s="46">
        <f t="shared" si="9"/>
        <v>1</v>
      </c>
      <c r="Y14" s="46">
        <f t="shared" si="27"/>
        <v>0</v>
      </c>
      <c r="Z14" s="46">
        <f t="shared" si="10"/>
        <v>0</v>
      </c>
      <c r="AA14" s="46">
        <f t="shared" si="11"/>
        <v>0</v>
      </c>
      <c r="AB14" s="46">
        <f t="shared" si="12"/>
        <v>0</v>
      </c>
      <c r="AC14" s="46">
        <f t="shared" si="13"/>
        <v>2130</v>
      </c>
      <c r="AD14" s="151">
        <f t="shared" si="14"/>
        <v>17200</v>
      </c>
      <c r="AE14" s="152">
        <f t="shared" si="15"/>
        <v>8600</v>
      </c>
      <c r="AF14" s="152">
        <f>ROUND((AD14+AE14)*18.8%,0)</f>
        <v>4850</v>
      </c>
      <c r="AG14" s="152">
        <f>IF(X14=1,IF($E$7="No",ROUND((AD14+AE14)*IF('Manual Data'!F13=1%,$M$5,'Manual Data'!F13),0),0),0)</f>
        <v>3870</v>
      </c>
      <c r="AH14" s="152">
        <f>IF(X14=1,IF(AD15=0,0,IF($F$7="Yes",IF('Manual Data'!G13=1,IF(OR($E$6="A",$E$6="A-1"),IF(OR($F$6="E1A",$F$6="E2A"),800,1400),IF(NOT(OR($F$6="E1A",$F$6="E2A")),800,500)),'Manual Data'!G13),0)),0)</f>
        <v>1400</v>
      </c>
      <c r="AI14" s="152">
        <f t="shared" si="16"/>
        <v>344</v>
      </c>
      <c r="AJ14" s="152">
        <f t="shared" si="17"/>
        <v>344</v>
      </c>
      <c r="AK14" s="152">
        <f t="shared" si="18"/>
        <v>240</v>
      </c>
      <c r="AL14" s="153">
        <f t="shared" si="28"/>
        <v>36848</v>
      </c>
      <c r="AM14" s="45"/>
      <c r="AN14" s="45" t="s">
        <v>31</v>
      </c>
      <c r="AO14" s="45" t="s">
        <v>35</v>
      </c>
      <c r="AP14" s="45" t="s">
        <v>55</v>
      </c>
      <c r="AQ14" s="45">
        <v>13000</v>
      </c>
      <c r="AR14" s="45">
        <v>18250</v>
      </c>
      <c r="AS14" s="45">
        <v>350</v>
      </c>
      <c r="AT14" s="45" t="s">
        <v>66</v>
      </c>
      <c r="AU14" s="45">
        <v>24900</v>
      </c>
      <c r="AV14" s="45">
        <v>50500</v>
      </c>
      <c r="AW14" s="45">
        <v>3</v>
      </c>
      <c r="AX14" s="45">
        <f aca="true" t="shared" si="29" ref="AX14:AX37">ROUNDUP(AX13*103%,-1)</f>
        <v>27220</v>
      </c>
      <c r="AY14" s="45" t="s">
        <v>77</v>
      </c>
      <c r="AZ14" s="46">
        <v>19</v>
      </c>
      <c r="BA14" s="46"/>
    </row>
    <row r="15" spans="1:53" s="3" customFormat="1" ht="12" customHeight="1">
      <c r="A15" s="9" t="s">
        <v>15</v>
      </c>
      <c r="B15" s="53" t="s">
        <v>21</v>
      </c>
      <c r="C15" s="14">
        <f t="shared" si="0"/>
        <v>38090</v>
      </c>
      <c r="D15" s="15">
        <f t="shared" si="19"/>
        <v>305</v>
      </c>
      <c r="E15" s="15">
        <f t="shared" si="1"/>
        <v>3870</v>
      </c>
      <c r="F15" s="15">
        <f t="shared" si="2"/>
        <v>1400</v>
      </c>
      <c r="G15" s="15">
        <f t="shared" si="3"/>
        <v>344</v>
      </c>
      <c r="H15" s="15">
        <f t="shared" si="4"/>
        <v>344</v>
      </c>
      <c r="I15" s="15">
        <f t="shared" si="5"/>
        <v>240</v>
      </c>
      <c r="J15" s="14">
        <f t="shared" si="6"/>
        <v>44593</v>
      </c>
      <c r="K15" s="14">
        <f t="shared" si="7"/>
        <v>40220</v>
      </c>
      <c r="L15" s="15">
        <f t="shared" si="20"/>
        <v>322</v>
      </c>
      <c r="M15" s="15">
        <f t="shared" si="21"/>
        <v>3870</v>
      </c>
      <c r="N15" s="15">
        <f t="shared" si="22"/>
        <v>1400</v>
      </c>
      <c r="O15" s="15">
        <f t="shared" si="23"/>
        <v>344</v>
      </c>
      <c r="P15" s="15">
        <f t="shared" si="24"/>
        <v>344</v>
      </c>
      <c r="Q15" s="15">
        <f t="shared" si="25"/>
        <v>240</v>
      </c>
      <c r="R15" s="14">
        <f t="shared" si="26"/>
        <v>46740</v>
      </c>
      <c r="S15" s="14">
        <f t="shared" si="8"/>
        <v>2147</v>
      </c>
      <c r="T15" s="47">
        <v>0.8</v>
      </c>
      <c r="U15" s="70">
        <f>MIN(ROUNDUP(IF('Manual Data'!E14=1,IF(A15='Manual Data'!N14,ROUND(U14*103%-0.01,0),U14),'Manual Data'!E14),-1),NBPH1)</f>
        <v>38090</v>
      </c>
      <c r="V15" s="70">
        <f>MIN(ROUNDUP(IF('Manual Data'!H14=1,IF(A15='Manual Data'!N14,ROUND(V14*103%-0.01,0),V14),'Manual Data'!H14),-1),HPS)</f>
        <v>40220</v>
      </c>
      <c r="W15" s="70">
        <f>MIN(IF('Manual Data'!D14=1,IF(A15='Manual Data'!N14,W14+'Manual Data'!O14,W14),'Manual Data'!D14),OBPH1)</f>
        <v>17200</v>
      </c>
      <c r="X15" s="46">
        <f t="shared" si="9"/>
        <v>1</v>
      </c>
      <c r="Y15" s="46">
        <f t="shared" si="27"/>
        <v>0</v>
      </c>
      <c r="Z15" s="46">
        <f t="shared" si="10"/>
        <v>0</v>
      </c>
      <c r="AA15" s="46">
        <f t="shared" si="11"/>
        <v>0</v>
      </c>
      <c r="AB15" s="46">
        <f t="shared" si="12"/>
        <v>0</v>
      </c>
      <c r="AC15" s="46">
        <f t="shared" si="13"/>
        <v>2147</v>
      </c>
      <c r="AD15" s="151">
        <f t="shared" si="14"/>
        <v>17200</v>
      </c>
      <c r="AE15" s="152">
        <f t="shared" si="15"/>
        <v>8600</v>
      </c>
      <c r="AF15" s="152">
        <f>ROUND((AD15+AE15)*20.2%,0)</f>
        <v>5212</v>
      </c>
      <c r="AG15" s="152">
        <f>IF(X15=1,IF($E$7="No",ROUND((AD15+AE15)*IF('Manual Data'!F14=1%,$M$5,'Manual Data'!F14),0),0),0)</f>
        <v>3870</v>
      </c>
      <c r="AH15" s="152">
        <f>IF(X15=1,IF(AD16=0,0,IF($F$7="Yes",IF('Manual Data'!G14=1,IF(OR($E$6="A",$E$6="A-1"),IF(OR($F$6="E1A",$F$6="E2A"),800,1400),IF(NOT(OR($F$6="E1A",$F$6="E2A")),800,500)),'Manual Data'!G14),0)),0)</f>
        <v>1400</v>
      </c>
      <c r="AI15" s="152">
        <f t="shared" si="16"/>
        <v>344</v>
      </c>
      <c r="AJ15" s="152">
        <f t="shared" si="17"/>
        <v>344</v>
      </c>
      <c r="AK15" s="152">
        <f t="shared" si="18"/>
        <v>240</v>
      </c>
      <c r="AL15" s="153">
        <f t="shared" si="28"/>
        <v>37210</v>
      </c>
      <c r="AM15" s="45"/>
      <c r="AN15" s="45" t="s">
        <v>46</v>
      </c>
      <c r="AO15" s="45" t="s">
        <v>36</v>
      </c>
      <c r="AP15" s="45" t="s">
        <v>56</v>
      </c>
      <c r="AQ15" s="45">
        <v>14500</v>
      </c>
      <c r="AR15" s="45">
        <v>18700</v>
      </c>
      <c r="AS15" s="45">
        <v>350</v>
      </c>
      <c r="AT15" s="45" t="s">
        <v>67</v>
      </c>
      <c r="AU15" s="45">
        <v>29100</v>
      </c>
      <c r="AV15" s="45">
        <v>54500</v>
      </c>
      <c r="AW15" s="45">
        <v>4</v>
      </c>
      <c r="AX15" s="45">
        <f t="shared" si="29"/>
        <v>28040</v>
      </c>
      <c r="AY15" s="45" t="s">
        <v>78</v>
      </c>
      <c r="AZ15" s="46">
        <v>20</v>
      </c>
      <c r="BA15" s="46">
        <v>9.188</v>
      </c>
    </row>
    <row r="16" spans="1:53" s="3" customFormat="1" ht="12" customHeight="1">
      <c r="A16" s="9" t="s">
        <v>16</v>
      </c>
      <c r="B16" s="53" t="s">
        <v>21</v>
      </c>
      <c r="C16" s="14">
        <f t="shared" si="0"/>
        <v>38090</v>
      </c>
      <c r="D16" s="15">
        <f t="shared" si="19"/>
        <v>305</v>
      </c>
      <c r="E16" s="15">
        <f t="shared" si="1"/>
        <v>3870</v>
      </c>
      <c r="F16" s="15">
        <f t="shared" si="2"/>
        <v>1400</v>
      </c>
      <c r="G16" s="15">
        <f t="shared" si="3"/>
        <v>344</v>
      </c>
      <c r="H16" s="15">
        <f t="shared" si="4"/>
        <v>344</v>
      </c>
      <c r="I16" s="15">
        <f t="shared" si="5"/>
        <v>240</v>
      </c>
      <c r="J16" s="14">
        <f t="shared" si="6"/>
        <v>44593</v>
      </c>
      <c r="K16" s="14">
        <f t="shared" si="7"/>
        <v>40220</v>
      </c>
      <c r="L16" s="15">
        <f t="shared" si="20"/>
        <v>322</v>
      </c>
      <c r="M16" s="15">
        <f t="shared" si="21"/>
        <v>3870</v>
      </c>
      <c r="N16" s="15">
        <f t="shared" si="22"/>
        <v>1400</v>
      </c>
      <c r="O16" s="15">
        <f t="shared" si="23"/>
        <v>344</v>
      </c>
      <c r="P16" s="15">
        <f t="shared" si="24"/>
        <v>344</v>
      </c>
      <c r="Q16" s="15">
        <f t="shared" si="25"/>
        <v>240</v>
      </c>
      <c r="R16" s="14">
        <f t="shared" si="26"/>
        <v>46740</v>
      </c>
      <c r="S16" s="14">
        <f t="shared" si="8"/>
        <v>2147</v>
      </c>
      <c r="T16" s="47">
        <v>0.8</v>
      </c>
      <c r="U16" s="70">
        <f>MIN(ROUNDUP(IF('Manual Data'!E15=1,IF(A16='Manual Data'!N15,ROUND(U15*103%-0.01,0),U15),'Manual Data'!E15),-1),NBPH1)</f>
        <v>38090</v>
      </c>
      <c r="V16" s="70">
        <f>MIN(ROUNDUP(IF('Manual Data'!H15=1,IF(A16='Manual Data'!N15,ROUND(V15*103%-0.01,0),V15),'Manual Data'!H15),-1),HPS)</f>
        <v>40220</v>
      </c>
      <c r="W16" s="70">
        <f>MIN(IF('Manual Data'!D15=1,IF(A16='Manual Data'!N15,W15+'Manual Data'!O15,W15),'Manual Data'!D15),OBPH1)</f>
        <v>17200</v>
      </c>
      <c r="X16" s="46">
        <f t="shared" si="9"/>
        <v>1</v>
      </c>
      <c r="Y16" s="46">
        <f t="shared" si="27"/>
        <v>0</v>
      </c>
      <c r="Z16" s="46">
        <f t="shared" si="10"/>
        <v>0</v>
      </c>
      <c r="AA16" s="46">
        <f t="shared" si="11"/>
        <v>0</v>
      </c>
      <c r="AB16" s="46">
        <f t="shared" si="12"/>
        <v>0</v>
      </c>
      <c r="AC16" s="46">
        <f t="shared" si="13"/>
        <v>2147</v>
      </c>
      <c r="AD16" s="151">
        <f t="shared" si="14"/>
        <v>17200</v>
      </c>
      <c r="AE16" s="152">
        <f t="shared" si="15"/>
        <v>8600</v>
      </c>
      <c r="AF16" s="152">
        <f>ROUND((AD16+AE16)*20.2%,0)</f>
        <v>5212</v>
      </c>
      <c r="AG16" s="152">
        <f>IF(X16=1,IF($E$7="No",ROUND((AD16+AE16)*IF('Manual Data'!F15=1%,$M$5,'Manual Data'!F15),0),0),0)</f>
        <v>3870</v>
      </c>
      <c r="AH16" s="152">
        <f>IF(X16=1,IF(AD17=0,0,IF($F$7="Yes",IF('Manual Data'!G15=1,IF(OR($E$6="A",$E$6="A-1"),IF(OR($F$6="E1A",$F$6="E2A"),800,1400),IF(NOT(OR($F$6="E1A",$F$6="E2A")),800,500)),'Manual Data'!G15),0)),0)</f>
        <v>1400</v>
      </c>
      <c r="AI16" s="152">
        <f t="shared" si="16"/>
        <v>344</v>
      </c>
      <c r="AJ16" s="152">
        <f t="shared" si="17"/>
        <v>344</v>
      </c>
      <c r="AK16" s="152">
        <f t="shared" si="18"/>
        <v>240</v>
      </c>
      <c r="AL16" s="153">
        <f t="shared" si="28"/>
        <v>37210</v>
      </c>
      <c r="AM16" s="45"/>
      <c r="AN16" s="45" t="s">
        <v>47</v>
      </c>
      <c r="AO16" s="45" t="s">
        <v>37</v>
      </c>
      <c r="AP16" s="45" t="s">
        <v>57</v>
      </c>
      <c r="AQ16" s="45">
        <v>16000</v>
      </c>
      <c r="AR16" s="45">
        <v>20800</v>
      </c>
      <c r="AS16" s="45">
        <v>400</v>
      </c>
      <c r="AT16" s="45" t="s">
        <v>68</v>
      </c>
      <c r="AU16" s="45">
        <v>32900</v>
      </c>
      <c r="AV16" s="45">
        <v>58000</v>
      </c>
      <c r="AW16" s="45">
        <v>5</v>
      </c>
      <c r="AX16" s="45">
        <f t="shared" si="29"/>
        <v>28890</v>
      </c>
      <c r="AY16" s="45" t="s">
        <v>79</v>
      </c>
      <c r="AZ16" s="46">
        <v>21</v>
      </c>
      <c r="BA16" s="46">
        <v>9.187</v>
      </c>
    </row>
    <row r="17" spans="1:53" s="3" customFormat="1" ht="12" customHeight="1">
      <c r="A17" s="9" t="s">
        <v>17</v>
      </c>
      <c r="B17" s="53" t="s">
        <v>21</v>
      </c>
      <c r="C17" s="14">
        <f t="shared" si="0"/>
        <v>38090</v>
      </c>
      <c r="D17" s="15">
        <f t="shared" si="19"/>
        <v>305</v>
      </c>
      <c r="E17" s="15">
        <f t="shared" si="1"/>
        <v>3870</v>
      </c>
      <c r="F17" s="15">
        <f t="shared" si="2"/>
        <v>1400</v>
      </c>
      <c r="G17" s="15">
        <f t="shared" si="3"/>
        <v>344</v>
      </c>
      <c r="H17" s="15">
        <f t="shared" si="4"/>
        <v>344</v>
      </c>
      <c r="I17" s="15">
        <f t="shared" si="5"/>
        <v>240</v>
      </c>
      <c r="J17" s="14">
        <f t="shared" si="6"/>
        <v>44593</v>
      </c>
      <c r="K17" s="14">
        <f t="shared" si="7"/>
        <v>40220</v>
      </c>
      <c r="L17" s="15">
        <f t="shared" si="20"/>
        <v>322</v>
      </c>
      <c r="M17" s="15">
        <f t="shared" si="21"/>
        <v>3870</v>
      </c>
      <c r="N17" s="15">
        <f t="shared" si="22"/>
        <v>1400</v>
      </c>
      <c r="O17" s="15">
        <f t="shared" si="23"/>
        <v>344</v>
      </c>
      <c r="P17" s="15">
        <f t="shared" si="24"/>
        <v>344</v>
      </c>
      <c r="Q17" s="15">
        <f t="shared" si="25"/>
        <v>240</v>
      </c>
      <c r="R17" s="14">
        <f t="shared" si="26"/>
        <v>46740</v>
      </c>
      <c r="S17" s="14">
        <f t="shared" si="8"/>
        <v>2147</v>
      </c>
      <c r="T17" s="47">
        <v>0.8</v>
      </c>
      <c r="U17" s="70">
        <f>MIN(ROUNDUP(IF('Manual Data'!E16=1,IF(A17='Manual Data'!N16,ROUND(U16*103%-0.01,0),U16),'Manual Data'!E16),-1),NBPH1)</f>
        <v>38090</v>
      </c>
      <c r="V17" s="70">
        <f>MIN(ROUNDUP(IF('Manual Data'!H16=1,IF(A17='Manual Data'!N16,ROUND(V16*103%-0.01,0),V16),'Manual Data'!H16),-1),HPS)</f>
        <v>40220</v>
      </c>
      <c r="W17" s="70">
        <f>MIN(IF('Manual Data'!D16=1,IF(A17='Manual Data'!N16,W16+'Manual Data'!O16,W16),'Manual Data'!D16),OBPH1)</f>
        <v>17200</v>
      </c>
      <c r="X17" s="46">
        <f t="shared" si="9"/>
        <v>1</v>
      </c>
      <c r="Y17" s="46">
        <f t="shared" si="27"/>
        <v>0</v>
      </c>
      <c r="Z17" s="46">
        <f t="shared" si="10"/>
        <v>0</v>
      </c>
      <c r="AA17" s="46">
        <f t="shared" si="11"/>
        <v>0</v>
      </c>
      <c r="AB17" s="46">
        <f t="shared" si="12"/>
        <v>0</v>
      </c>
      <c r="AC17" s="46">
        <f t="shared" si="13"/>
        <v>2147</v>
      </c>
      <c r="AD17" s="151">
        <f t="shared" si="14"/>
        <v>17200</v>
      </c>
      <c r="AE17" s="152">
        <f t="shared" si="15"/>
        <v>8600</v>
      </c>
      <c r="AF17" s="152">
        <f>ROUND((AD17+AE17)*20.2%,0)</f>
        <v>5212</v>
      </c>
      <c r="AG17" s="152">
        <f>IF(X17=1,IF($E$7="No",ROUND((AD17+AE17)*IF('Manual Data'!F16=1%,$M$5,'Manual Data'!F16),0),0),0)</f>
        <v>3870</v>
      </c>
      <c r="AH17" s="152">
        <f>IF(X17=1,IF(AD18=0,0,IF($F$7="Yes",IF('Manual Data'!G16=1,IF(OR($E$6="A",$E$6="A-1"),IF(OR($F$6="E1A",$F$6="E2A"),800,1400),IF(NOT(OR($F$6="E1A",$F$6="E2A")),800,500)),'Manual Data'!G16),0)),0)</f>
        <v>1400</v>
      </c>
      <c r="AI17" s="152">
        <f t="shared" si="16"/>
        <v>344</v>
      </c>
      <c r="AJ17" s="152">
        <f t="shared" si="17"/>
        <v>344</v>
      </c>
      <c r="AK17" s="152">
        <f t="shared" si="18"/>
        <v>240</v>
      </c>
      <c r="AL17" s="153">
        <f t="shared" si="28"/>
        <v>37210</v>
      </c>
      <c r="AM17" s="45"/>
      <c r="AN17" s="45" t="s">
        <v>48</v>
      </c>
      <c r="AO17" s="45" t="s">
        <v>38</v>
      </c>
      <c r="AP17" s="45" t="s">
        <v>58</v>
      </c>
      <c r="AQ17" s="45">
        <v>17500</v>
      </c>
      <c r="AR17" s="45">
        <v>22300</v>
      </c>
      <c r="AS17" s="45">
        <v>400</v>
      </c>
      <c r="AT17" s="45" t="s">
        <v>69</v>
      </c>
      <c r="AU17" s="45">
        <v>36600</v>
      </c>
      <c r="AV17" s="45">
        <v>62000</v>
      </c>
      <c r="AW17" s="45">
        <v>6</v>
      </c>
      <c r="AX17" s="45">
        <f t="shared" si="29"/>
        <v>29760</v>
      </c>
      <c r="AY17" s="45" t="s">
        <v>80</v>
      </c>
      <c r="AZ17" s="46">
        <v>22</v>
      </c>
      <c r="BA17" s="46">
        <v>9.186</v>
      </c>
    </row>
    <row r="18" spans="1:53" s="3" customFormat="1" ht="12" customHeight="1">
      <c r="A18" s="9" t="s">
        <v>18</v>
      </c>
      <c r="B18" s="53" t="s">
        <v>21</v>
      </c>
      <c r="C18" s="14">
        <f t="shared" si="0"/>
        <v>38090</v>
      </c>
      <c r="D18" s="15">
        <f t="shared" si="19"/>
        <v>495</v>
      </c>
      <c r="E18" s="15">
        <f t="shared" si="1"/>
        <v>3870</v>
      </c>
      <c r="F18" s="15">
        <f t="shared" si="2"/>
        <v>1400</v>
      </c>
      <c r="G18" s="15">
        <f t="shared" si="3"/>
        <v>344</v>
      </c>
      <c r="H18" s="15">
        <f t="shared" si="4"/>
        <v>344</v>
      </c>
      <c r="I18" s="15">
        <f t="shared" si="5"/>
        <v>240</v>
      </c>
      <c r="J18" s="14">
        <f t="shared" si="6"/>
        <v>44783</v>
      </c>
      <c r="K18" s="14">
        <f t="shared" si="7"/>
        <v>40220</v>
      </c>
      <c r="L18" s="15">
        <f t="shared" si="20"/>
        <v>523</v>
      </c>
      <c r="M18" s="15">
        <f t="shared" si="21"/>
        <v>3870</v>
      </c>
      <c r="N18" s="15">
        <f t="shared" si="22"/>
        <v>1400</v>
      </c>
      <c r="O18" s="15">
        <f t="shared" si="23"/>
        <v>344</v>
      </c>
      <c r="P18" s="15">
        <f t="shared" si="24"/>
        <v>344</v>
      </c>
      <c r="Q18" s="15">
        <f t="shared" si="25"/>
        <v>240</v>
      </c>
      <c r="R18" s="14">
        <f t="shared" si="26"/>
        <v>46941</v>
      </c>
      <c r="S18" s="14">
        <f t="shared" si="8"/>
        <v>2158</v>
      </c>
      <c r="T18" s="47">
        <v>1.3</v>
      </c>
      <c r="U18" s="70">
        <f>MIN(ROUNDUP(IF('Manual Data'!E17=1,IF(A18='Manual Data'!N17,ROUND(U17*103%-0.01,0),U17),'Manual Data'!E17),-1),NBPH1)</f>
        <v>38090</v>
      </c>
      <c r="V18" s="70">
        <f>MIN(ROUNDUP(IF('Manual Data'!H17=1,IF(A18='Manual Data'!N17,ROUND(V17*103%-0.01,0),V17),'Manual Data'!H17),-1),HPS)</f>
        <v>40220</v>
      </c>
      <c r="W18" s="70">
        <f>MIN(IF('Manual Data'!D17=1,IF(A18='Manual Data'!N17,W17+'Manual Data'!O17,W17),'Manual Data'!D17),OBPH1)</f>
        <v>17200</v>
      </c>
      <c r="X18" s="46">
        <f t="shared" si="9"/>
        <v>1</v>
      </c>
      <c r="Y18" s="46">
        <f t="shared" si="27"/>
        <v>0</v>
      </c>
      <c r="Z18" s="46">
        <f t="shared" si="10"/>
        <v>0</v>
      </c>
      <c r="AA18" s="46">
        <f t="shared" si="11"/>
        <v>0</v>
      </c>
      <c r="AB18" s="46">
        <f t="shared" si="12"/>
        <v>0</v>
      </c>
      <c r="AC18" s="46">
        <f t="shared" si="13"/>
        <v>2158</v>
      </c>
      <c r="AD18" s="151">
        <f t="shared" si="14"/>
        <v>17200</v>
      </c>
      <c r="AE18" s="152">
        <f t="shared" si="15"/>
        <v>8600</v>
      </c>
      <c r="AF18" s="152">
        <f>ROUND((AD18+AE18)*21.1%,0)</f>
        <v>5444</v>
      </c>
      <c r="AG18" s="152">
        <f>IF(X18=1,IF($E$7="No",ROUND((AD18+AE18)*IF('Manual Data'!F17=1%,$M$5,'Manual Data'!F17),0),0),0)</f>
        <v>3870</v>
      </c>
      <c r="AH18" s="152">
        <f>IF(X18=1,IF(AD19=0,0,IF($F$7="Yes",IF('Manual Data'!G17=1,IF(OR($E$6="A",$E$6="A-1"),IF(OR($F$6="E1A",$F$6="E2A"),800,1400),IF(NOT(OR($F$6="E1A",$F$6="E2A")),800,500)),'Manual Data'!G17),0)),0)</f>
        <v>1400</v>
      </c>
      <c r="AI18" s="152">
        <f t="shared" si="16"/>
        <v>344</v>
      </c>
      <c r="AJ18" s="152">
        <f t="shared" si="17"/>
        <v>344</v>
      </c>
      <c r="AK18" s="152">
        <f t="shared" si="18"/>
        <v>240</v>
      </c>
      <c r="AL18" s="153">
        <f t="shared" si="28"/>
        <v>37442</v>
      </c>
      <c r="AM18" s="45"/>
      <c r="AN18" s="45" t="s">
        <v>49</v>
      </c>
      <c r="AO18" s="45" t="s">
        <v>39</v>
      </c>
      <c r="AP18" s="45" t="s">
        <v>59</v>
      </c>
      <c r="AQ18" s="45">
        <v>18500</v>
      </c>
      <c r="AR18" s="45">
        <v>23900</v>
      </c>
      <c r="AS18" s="45">
        <v>450</v>
      </c>
      <c r="AT18" s="45" t="s">
        <v>70</v>
      </c>
      <c r="AU18" s="45">
        <v>43200</v>
      </c>
      <c r="AV18" s="45">
        <v>66000</v>
      </c>
      <c r="AW18" s="45">
        <v>7</v>
      </c>
      <c r="AX18" s="45">
        <f t="shared" si="29"/>
        <v>30660</v>
      </c>
      <c r="AY18" s="45" t="s">
        <v>81</v>
      </c>
      <c r="AZ18" s="46">
        <v>23</v>
      </c>
      <c r="BA18" s="46">
        <v>9.185</v>
      </c>
    </row>
    <row r="19" spans="1:53" s="3" customFormat="1" ht="12" customHeight="1">
      <c r="A19" s="9" t="s">
        <v>19</v>
      </c>
      <c r="B19" s="53" t="s">
        <v>21</v>
      </c>
      <c r="C19" s="14">
        <f t="shared" si="0"/>
        <v>38090</v>
      </c>
      <c r="D19" s="15">
        <f t="shared" si="19"/>
        <v>495</v>
      </c>
      <c r="E19" s="15">
        <f t="shared" si="1"/>
        <v>3870</v>
      </c>
      <c r="F19" s="15">
        <f t="shared" si="2"/>
        <v>1400</v>
      </c>
      <c r="G19" s="15">
        <f t="shared" si="3"/>
        <v>344</v>
      </c>
      <c r="H19" s="15">
        <f t="shared" si="4"/>
        <v>344</v>
      </c>
      <c r="I19" s="15">
        <f t="shared" si="5"/>
        <v>240</v>
      </c>
      <c r="J19" s="14">
        <f t="shared" si="6"/>
        <v>44783</v>
      </c>
      <c r="K19" s="14">
        <f t="shared" si="7"/>
        <v>40220</v>
      </c>
      <c r="L19" s="15">
        <f t="shared" si="20"/>
        <v>523</v>
      </c>
      <c r="M19" s="15">
        <f t="shared" si="21"/>
        <v>3870</v>
      </c>
      <c r="N19" s="15">
        <f t="shared" si="22"/>
        <v>1400</v>
      </c>
      <c r="O19" s="15">
        <f t="shared" si="23"/>
        <v>344</v>
      </c>
      <c r="P19" s="15">
        <f t="shared" si="24"/>
        <v>344</v>
      </c>
      <c r="Q19" s="15">
        <f t="shared" si="25"/>
        <v>240</v>
      </c>
      <c r="R19" s="14">
        <f t="shared" si="26"/>
        <v>46941</v>
      </c>
      <c r="S19" s="14">
        <f t="shared" si="8"/>
        <v>2158</v>
      </c>
      <c r="T19" s="47">
        <v>1.3</v>
      </c>
      <c r="U19" s="70">
        <f>MIN(ROUNDUP(IF('Manual Data'!E18=1,IF(A19='Manual Data'!N18,ROUND(U18*103%-0.01,0),U18),'Manual Data'!E18),-1),NBPH1)</f>
        <v>38090</v>
      </c>
      <c r="V19" s="70">
        <f>MIN(ROUNDUP(IF('Manual Data'!H18=1,IF(A19='Manual Data'!N18,ROUND(V18*103%-0.01,0),V18),'Manual Data'!H18),-1),HPS)</f>
        <v>40220</v>
      </c>
      <c r="W19" s="70">
        <f>MIN(IF('Manual Data'!D18=1,IF(A19='Manual Data'!N18,W18+'Manual Data'!O18,W18),'Manual Data'!D18),OBPH1)</f>
        <v>17200</v>
      </c>
      <c r="X19" s="46">
        <f t="shared" si="9"/>
        <v>1</v>
      </c>
      <c r="Y19" s="46">
        <f t="shared" si="27"/>
        <v>0</v>
      </c>
      <c r="Z19" s="46">
        <f t="shared" si="10"/>
        <v>0</v>
      </c>
      <c r="AA19" s="46">
        <f t="shared" si="11"/>
        <v>0</v>
      </c>
      <c r="AB19" s="46">
        <f t="shared" si="12"/>
        <v>0</v>
      </c>
      <c r="AC19" s="46">
        <f t="shared" si="13"/>
        <v>2158</v>
      </c>
      <c r="AD19" s="151">
        <f t="shared" si="14"/>
        <v>17200</v>
      </c>
      <c r="AE19" s="152">
        <f t="shared" si="15"/>
        <v>8600</v>
      </c>
      <c r="AF19" s="152">
        <f>ROUND((AD19+AE19)*21.1%,0)</f>
        <v>5444</v>
      </c>
      <c r="AG19" s="152">
        <f>IF(X19=1,IF($E$7="No",ROUND((AD19+AE19)*IF('Manual Data'!F18=1%,$M$5,'Manual Data'!F18),0),0),0)</f>
        <v>3870</v>
      </c>
      <c r="AH19" s="152">
        <f>IF(X19=1,IF(AD20=0,0,IF($F$7="Yes",IF('Manual Data'!G18=1,IF(OR($E$6="A",$E$6="A-1"),IF(OR($F$6="E1A",$F$6="E2A"),800,1400),IF(NOT(OR($F$6="E1A",$F$6="E2A")),800,500)),'Manual Data'!G18),0)),0)</f>
        <v>1400</v>
      </c>
      <c r="AI19" s="152">
        <f t="shared" si="16"/>
        <v>344</v>
      </c>
      <c r="AJ19" s="152">
        <f t="shared" si="17"/>
        <v>344</v>
      </c>
      <c r="AK19" s="152">
        <f t="shared" si="18"/>
        <v>240</v>
      </c>
      <c r="AL19" s="153">
        <f t="shared" si="28"/>
        <v>37442</v>
      </c>
      <c r="AM19" s="45"/>
      <c r="AN19" s="45" t="s">
        <v>50</v>
      </c>
      <c r="AO19" s="45" t="s">
        <v>40</v>
      </c>
      <c r="AP19" s="45" t="s">
        <v>60</v>
      </c>
      <c r="AQ19" s="45">
        <v>23750</v>
      </c>
      <c r="AR19" s="45">
        <v>28550</v>
      </c>
      <c r="AS19" s="45">
        <v>600</v>
      </c>
      <c r="AT19" s="45" t="s">
        <v>71</v>
      </c>
      <c r="AU19" s="45">
        <v>62000</v>
      </c>
      <c r="AV19" s="45">
        <v>80000</v>
      </c>
      <c r="AW19" s="45">
        <v>8</v>
      </c>
      <c r="AX19" s="45">
        <f t="shared" si="29"/>
        <v>31580</v>
      </c>
      <c r="AY19" s="45" t="s">
        <v>82</v>
      </c>
      <c r="AZ19" s="46">
        <v>24</v>
      </c>
      <c r="BA19" s="46">
        <v>9.184</v>
      </c>
    </row>
    <row r="20" spans="1:53" s="3" customFormat="1" ht="12" customHeight="1">
      <c r="A20" s="9" t="s">
        <v>20</v>
      </c>
      <c r="B20" s="53" t="s">
        <v>21</v>
      </c>
      <c r="C20" s="14">
        <f t="shared" si="0"/>
        <v>38090</v>
      </c>
      <c r="D20" s="15">
        <f t="shared" si="19"/>
        <v>495</v>
      </c>
      <c r="E20" s="15">
        <f t="shared" si="1"/>
        <v>3870</v>
      </c>
      <c r="F20" s="15">
        <f t="shared" si="2"/>
        <v>1400</v>
      </c>
      <c r="G20" s="15">
        <f t="shared" si="3"/>
        <v>344</v>
      </c>
      <c r="H20" s="15">
        <f t="shared" si="4"/>
        <v>344</v>
      </c>
      <c r="I20" s="15">
        <f t="shared" si="5"/>
        <v>240</v>
      </c>
      <c r="J20" s="14">
        <f t="shared" si="6"/>
        <v>44783</v>
      </c>
      <c r="K20" s="14">
        <f t="shared" si="7"/>
        <v>40220</v>
      </c>
      <c r="L20" s="15">
        <f t="shared" si="20"/>
        <v>523</v>
      </c>
      <c r="M20" s="15">
        <f t="shared" si="21"/>
        <v>3870</v>
      </c>
      <c r="N20" s="15">
        <f t="shared" si="22"/>
        <v>1400</v>
      </c>
      <c r="O20" s="15">
        <f t="shared" si="23"/>
        <v>344</v>
      </c>
      <c r="P20" s="15">
        <f t="shared" si="24"/>
        <v>344</v>
      </c>
      <c r="Q20" s="15">
        <f t="shared" si="25"/>
        <v>240</v>
      </c>
      <c r="R20" s="14">
        <f t="shared" si="26"/>
        <v>46941</v>
      </c>
      <c r="S20" s="14">
        <f t="shared" si="8"/>
        <v>2158</v>
      </c>
      <c r="T20" s="47">
        <v>1.3</v>
      </c>
      <c r="U20" s="70">
        <f>MIN(ROUNDUP(IF('Manual Data'!E19=1,IF(A20='Manual Data'!N19,ROUND(U19*103%-0.01,0),U19),'Manual Data'!E19),-1),NBPH1)</f>
        <v>38090</v>
      </c>
      <c r="V20" s="70">
        <f>MIN(ROUNDUP(IF('Manual Data'!H19=1,IF(A20='Manual Data'!N19,ROUND(V19*103%-0.01,0),V19),'Manual Data'!H19),-1),HPS)</f>
        <v>40220</v>
      </c>
      <c r="W20" s="70">
        <f>MIN(IF('Manual Data'!D19=1,IF(A20='Manual Data'!N19,W19+'Manual Data'!O19,W19),'Manual Data'!D19),OBPH1)</f>
        <v>17200</v>
      </c>
      <c r="X20" s="46">
        <f t="shared" si="9"/>
        <v>1</v>
      </c>
      <c r="Y20" s="46">
        <f t="shared" si="27"/>
        <v>0</v>
      </c>
      <c r="Z20" s="46">
        <f t="shared" si="10"/>
        <v>0</v>
      </c>
      <c r="AA20" s="46">
        <f t="shared" si="11"/>
        <v>0</v>
      </c>
      <c r="AB20" s="46">
        <f t="shared" si="12"/>
        <v>0</v>
      </c>
      <c r="AC20" s="46">
        <f t="shared" si="13"/>
        <v>2158</v>
      </c>
      <c r="AD20" s="151">
        <f t="shared" si="14"/>
        <v>17200</v>
      </c>
      <c r="AE20" s="152">
        <f t="shared" si="15"/>
        <v>8600</v>
      </c>
      <c r="AF20" s="152">
        <f>ROUND((AD20+AE20)*21.1%,0)</f>
        <v>5444</v>
      </c>
      <c r="AG20" s="152">
        <f>IF(X20=1,IF($E$7="No",ROUND((AD20+AE20)*IF('Manual Data'!F19=1%,$M$5,'Manual Data'!F19),0),0),0)</f>
        <v>3870</v>
      </c>
      <c r="AH20" s="152">
        <f>IF(X20=1,IF(AD21=0,0,IF($F$7="Yes",IF('Manual Data'!G19=1,IF(OR($E$6="A",$E$6="A-1"),IF(OR($F$6="E1A",$F$6="E2A"),800,1400),IF(NOT(OR($F$6="E1A",$F$6="E2A")),800,500)),'Manual Data'!G19),0)),0)</f>
        <v>1400</v>
      </c>
      <c r="AI20" s="152">
        <f t="shared" si="16"/>
        <v>344</v>
      </c>
      <c r="AJ20" s="152">
        <f t="shared" si="17"/>
        <v>344</v>
      </c>
      <c r="AK20" s="152">
        <f t="shared" si="18"/>
        <v>240</v>
      </c>
      <c r="AL20" s="153">
        <f t="shared" si="28"/>
        <v>37442</v>
      </c>
      <c r="AM20" s="45"/>
      <c r="AN20" s="45" t="s">
        <v>51</v>
      </c>
      <c r="AO20" s="45" t="s">
        <v>41</v>
      </c>
      <c r="AP20" s="45" t="s">
        <v>61</v>
      </c>
      <c r="AQ20" s="45">
        <v>25000</v>
      </c>
      <c r="AR20" s="45">
        <v>30200</v>
      </c>
      <c r="AS20" s="45">
        <v>650</v>
      </c>
      <c r="AT20" s="45" t="s">
        <v>72</v>
      </c>
      <c r="AU20" s="45">
        <v>62000</v>
      </c>
      <c r="AV20" s="45">
        <v>80000</v>
      </c>
      <c r="AW20" s="45">
        <v>9</v>
      </c>
      <c r="AX20" s="45">
        <f t="shared" si="29"/>
        <v>32530</v>
      </c>
      <c r="AY20" s="45" t="s">
        <v>83</v>
      </c>
      <c r="AZ20" s="46">
        <v>25</v>
      </c>
      <c r="BA20" s="46">
        <v>9.183</v>
      </c>
    </row>
    <row r="21" spans="1:53" s="3" customFormat="1" ht="12" customHeight="1">
      <c r="A21" s="9" t="s">
        <v>0</v>
      </c>
      <c r="B21" s="53" t="s">
        <v>21</v>
      </c>
      <c r="C21" s="14">
        <f t="shared" si="0"/>
        <v>38090</v>
      </c>
      <c r="D21" s="15">
        <f t="shared" si="19"/>
        <v>1600</v>
      </c>
      <c r="E21" s="15">
        <f t="shared" si="1"/>
        <v>3870</v>
      </c>
      <c r="F21" s="15">
        <f t="shared" si="2"/>
        <v>1400</v>
      </c>
      <c r="G21" s="15">
        <f t="shared" si="3"/>
        <v>344</v>
      </c>
      <c r="H21" s="15">
        <f t="shared" si="4"/>
        <v>344</v>
      </c>
      <c r="I21" s="15">
        <f t="shared" si="5"/>
        <v>240</v>
      </c>
      <c r="J21" s="14">
        <f t="shared" si="6"/>
        <v>45888</v>
      </c>
      <c r="K21" s="14">
        <f t="shared" si="7"/>
        <v>40220</v>
      </c>
      <c r="L21" s="15">
        <f t="shared" si="20"/>
        <v>1689</v>
      </c>
      <c r="M21" s="15">
        <f t="shared" si="21"/>
        <v>3870</v>
      </c>
      <c r="N21" s="15">
        <f t="shared" si="22"/>
        <v>1400</v>
      </c>
      <c r="O21" s="15">
        <f t="shared" si="23"/>
        <v>344</v>
      </c>
      <c r="P21" s="15">
        <f t="shared" si="24"/>
        <v>344</v>
      </c>
      <c r="Q21" s="15">
        <f t="shared" si="25"/>
        <v>240</v>
      </c>
      <c r="R21" s="14">
        <f t="shared" si="26"/>
        <v>48107</v>
      </c>
      <c r="S21" s="14">
        <f t="shared" si="8"/>
        <v>2219</v>
      </c>
      <c r="T21" s="47">
        <v>4.2</v>
      </c>
      <c r="U21" s="70">
        <f>MIN(ROUNDUP(IF('Manual Data'!E20=1,IF(A21='Manual Data'!N20,ROUND(U20*103%-0.01,0),U20),'Manual Data'!E20),-1),NBPH1)</f>
        <v>38090</v>
      </c>
      <c r="V21" s="70">
        <f>MIN(ROUNDUP(IF('Manual Data'!H20=1,IF(A21='Manual Data'!N20,ROUND(V20*103%-0.01,0),V20),'Manual Data'!H20),-1),HPS)</f>
        <v>40220</v>
      </c>
      <c r="W21" s="70">
        <f>MIN(IF('Manual Data'!D20=1,IF(A21='Manual Data'!N20,W20+'Manual Data'!O20,W20),'Manual Data'!D20),OBPH1)</f>
        <v>17200</v>
      </c>
      <c r="X21" s="46">
        <f t="shared" si="9"/>
        <v>1</v>
      </c>
      <c r="Y21" s="46">
        <f t="shared" si="27"/>
        <v>0</v>
      </c>
      <c r="Z21" s="46">
        <f t="shared" si="10"/>
        <v>0</v>
      </c>
      <c r="AA21" s="46">
        <f t="shared" si="11"/>
        <v>0</v>
      </c>
      <c r="AB21" s="46">
        <f t="shared" si="12"/>
        <v>0</v>
      </c>
      <c r="AC21" s="46">
        <f t="shared" si="13"/>
        <v>2219</v>
      </c>
      <c r="AD21" s="151">
        <f t="shared" si="14"/>
        <v>17200</v>
      </c>
      <c r="AE21" s="152">
        <f t="shared" si="15"/>
        <v>8600</v>
      </c>
      <c r="AF21" s="152">
        <f>ROUND((AD21+AE21)*26%,0)</f>
        <v>6708</v>
      </c>
      <c r="AG21" s="152">
        <f>IF(X21=1,IF($E$7="No",ROUND((AD21+AE21)*IF('Manual Data'!F20=1%,$M$5,'Manual Data'!F20),0),0),0)</f>
        <v>3870</v>
      </c>
      <c r="AH21" s="152">
        <f>IF(X21=1,IF(AD22=0,0,IF($F$7="Yes",IF('Manual Data'!G20=1,IF(OR($E$6="A",$E$6="A-1"),IF(OR($F$6="E1A",$F$6="E2A"),800,1400),IF(NOT(OR($F$6="E1A",$F$6="E2A")),800,500)),'Manual Data'!G20),0)),0)</f>
        <v>1400</v>
      </c>
      <c r="AI21" s="152">
        <f t="shared" si="16"/>
        <v>344</v>
      </c>
      <c r="AJ21" s="152">
        <f t="shared" si="17"/>
        <v>344</v>
      </c>
      <c r="AK21" s="152">
        <f t="shared" si="18"/>
        <v>240</v>
      </c>
      <c r="AL21" s="153">
        <f t="shared" si="28"/>
        <v>38706</v>
      </c>
      <c r="AM21" s="45"/>
      <c r="AN21" s="45" t="s">
        <v>52</v>
      </c>
      <c r="AO21" s="45" t="s">
        <v>43</v>
      </c>
      <c r="AP21" s="45" t="s">
        <v>62</v>
      </c>
      <c r="AQ21" s="45">
        <v>25750</v>
      </c>
      <c r="AR21" s="45">
        <v>30950</v>
      </c>
      <c r="AS21" s="45">
        <v>650</v>
      </c>
      <c r="AT21" s="45" t="s">
        <v>73</v>
      </c>
      <c r="AU21" s="45">
        <v>75000</v>
      </c>
      <c r="AV21" s="45">
        <v>100000</v>
      </c>
      <c r="AW21" s="45">
        <v>10</v>
      </c>
      <c r="AX21" s="45">
        <f t="shared" si="29"/>
        <v>33510</v>
      </c>
      <c r="AY21" s="45" t="s">
        <v>84</v>
      </c>
      <c r="AZ21" s="46">
        <v>26</v>
      </c>
      <c r="BA21" s="46">
        <v>9.182</v>
      </c>
    </row>
    <row r="22" spans="1:53" s="3" customFormat="1" ht="12" customHeight="1">
      <c r="A22" s="9" t="s">
        <v>10</v>
      </c>
      <c r="B22" s="53" t="s">
        <v>21</v>
      </c>
      <c r="C22" s="14">
        <f t="shared" si="0"/>
        <v>38090</v>
      </c>
      <c r="D22" s="15">
        <f t="shared" si="19"/>
        <v>1600</v>
      </c>
      <c r="E22" s="15">
        <f t="shared" si="1"/>
        <v>3870</v>
      </c>
      <c r="F22" s="15">
        <f t="shared" si="2"/>
        <v>1400</v>
      </c>
      <c r="G22" s="15">
        <f t="shared" si="3"/>
        <v>344</v>
      </c>
      <c r="H22" s="15">
        <f t="shared" si="4"/>
        <v>344</v>
      </c>
      <c r="I22" s="15">
        <f t="shared" si="5"/>
        <v>240</v>
      </c>
      <c r="J22" s="14">
        <f t="shared" si="6"/>
        <v>45888</v>
      </c>
      <c r="K22" s="14">
        <f t="shared" si="7"/>
        <v>40220</v>
      </c>
      <c r="L22" s="15">
        <f t="shared" si="20"/>
        <v>1689</v>
      </c>
      <c r="M22" s="15">
        <f t="shared" si="21"/>
        <v>3870</v>
      </c>
      <c r="N22" s="15">
        <f t="shared" si="22"/>
        <v>1400</v>
      </c>
      <c r="O22" s="15">
        <f t="shared" si="23"/>
        <v>344</v>
      </c>
      <c r="P22" s="15">
        <f t="shared" si="24"/>
        <v>344</v>
      </c>
      <c r="Q22" s="15">
        <f t="shared" si="25"/>
        <v>240</v>
      </c>
      <c r="R22" s="14">
        <f t="shared" si="26"/>
        <v>48107</v>
      </c>
      <c r="S22" s="14">
        <f t="shared" si="8"/>
        <v>2219</v>
      </c>
      <c r="T22" s="47">
        <v>4.2</v>
      </c>
      <c r="U22" s="70">
        <f>MIN(ROUNDUP(IF('Manual Data'!E21=1,IF(A22='Manual Data'!N21,ROUND(U21*103%-0.01,0),U21),'Manual Data'!E21),-1),NBPH1)</f>
        <v>38090</v>
      </c>
      <c r="V22" s="70">
        <f>MIN(ROUNDUP(IF('Manual Data'!H21=1,IF(A22='Manual Data'!N21,ROUND(V21*103%-0.01,0),V21),'Manual Data'!H21),-1),HPS)</f>
        <v>40220</v>
      </c>
      <c r="W22" s="70">
        <f>MIN(IF('Manual Data'!D21=1,IF(A22='Manual Data'!N21,W21+'Manual Data'!O21,W21),'Manual Data'!D21),OBPH1)</f>
        <v>17200</v>
      </c>
      <c r="X22" s="46">
        <f t="shared" si="9"/>
        <v>1</v>
      </c>
      <c r="Y22" s="46">
        <f t="shared" si="27"/>
        <v>0</v>
      </c>
      <c r="Z22" s="46">
        <f t="shared" si="10"/>
        <v>0</v>
      </c>
      <c r="AA22" s="46">
        <f t="shared" si="11"/>
        <v>0</v>
      </c>
      <c r="AB22" s="46">
        <f t="shared" si="12"/>
        <v>0</v>
      </c>
      <c r="AC22" s="46">
        <f t="shared" si="13"/>
        <v>2219</v>
      </c>
      <c r="AD22" s="151">
        <f t="shared" si="14"/>
        <v>17200</v>
      </c>
      <c r="AE22" s="152">
        <f t="shared" si="15"/>
        <v>8600</v>
      </c>
      <c r="AF22" s="152">
        <f>ROUND((AD22+AE22)*26%,0)</f>
        <v>6708</v>
      </c>
      <c r="AG22" s="152">
        <f>IF(X22=1,IF($E$7="No",ROUND((AD22+AE22)*IF('Manual Data'!F21=1%,$M$5,'Manual Data'!F21),0),0),0)</f>
        <v>3870</v>
      </c>
      <c r="AH22" s="152">
        <f>IF(X22=1,IF(AD23=0,0,IF($F$7="Yes",IF('Manual Data'!G21=1,IF(OR($E$6="A",$E$6="A-1"),IF(OR($F$6="E1A",$F$6="E2A"),800,1400),IF(NOT(OR($F$6="E1A",$F$6="E2A")),800,500)),'Manual Data'!G21),0)),0)</f>
        <v>1400</v>
      </c>
      <c r="AI22" s="152">
        <f t="shared" si="16"/>
        <v>344</v>
      </c>
      <c r="AJ22" s="152">
        <f t="shared" si="17"/>
        <v>344</v>
      </c>
      <c r="AK22" s="152">
        <f t="shared" si="18"/>
        <v>240</v>
      </c>
      <c r="AL22" s="153">
        <f t="shared" si="28"/>
        <v>38706</v>
      </c>
      <c r="AM22" s="45"/>
      <c r="AN22" s="45" t="s">
        <v>42</v>
      </c>
      <c r="AO22" s="45" t="s">
        <v>42</v>
      </c>
      <c r="AP22" s="45" t="s">
        <v>63</v>
      </c>
      <c r="AQ22" s="45">
        <v>27750</v>
      </c>
      <c r="AR22" s="45">
        <v>31500</v>
      </c>
      <c r="AS22" s="45">
        <v>750</v>
      </c>
      <c r="AT22" s="45" t="s">
        <v>74</v>
      </c>
      <c r="AU22" s="45">
        <v>80000</v>
      </c>
      <c r="AV22" s="45">
        <v>125000</v>
      </c>
      <c r="AW22" s="45">
        <v>11</v>
      </c>
      <c r="AX22" s="45">
        <f t="shared" si="29"/>
        <v>34520</v>
      </c>
      <c r="AY22" s="45" t="s">
        <v>85</v>
      </c>
      <c r="AZ22" s="46">
        <v>27</v>
      </c>
      <c r="BA22" s="46">
        <v>9.18</v>
      </c>
    </row>
    <row r="23" spans="1:53" s="3" customFormat="1" ht="12" customHeight="1">
      <c r="A23" s="9" t="s">
        <v>11</v>
      </c>
      <c r="B23" s="53" t="s">
        <v>21</v>
      </c>
      <c r="C23" s="14">
        <f t="shared" si="0"/>
        <v>38090</v>
      </c>
      <c r="D23" s="15">
        <f t="shared" si="19"/>
        <v>1600</v>
      </c>
      <c r="E23" s="15">
        <f t="shared" si="1"/>
        <v>3870</v>
      </c>
      <c r="F23" s="15">
        <f t="shared" si="2"/>
        <v>1400</v>
      </c>
      <c r="G23" s="15">
        <f t="shared" si="3"/>
        <v>344</v>
      </c>
      <c r="H23" s="15">
        <f t="shared" si="4"/>
        <v>344</v>
      </c>
      <c r="I23" s="15">
        <f t="shared" si="5"/>
        <v>240</v>
      </c>
      <c r="J23" s="14">
        <f t="shared" si="6"/>
        <v>45888</v>
      </c>
      <c r="K23" s="14">
        <f t="shared" si="7"/>
        <v>40220</v>
      </c>
      <c r="L23" s="15">
        <f t="shared" si="20"/>
        <v>1689</v>
      </c>
      <c r="M23" s="15">
        <f t="shared" si="21"/>
        <v>3870</v>
      </c>
      <c r="N23" s="15">
        <f t="shared" si="22"/>
        <v>1400</v>
      </c>
      <c r="O23" s="15">
        <f t="shared" si="23"/>
        <v>344</v>
      </c>
      <c r="P23" s="15">
        <f t="shared" si="24"/>
        <v>344</v>
      </c>
      <c r="Q23" s="15">
        <f t="shared" si="25"/>
        <v>240</v>
      </c>
      <c r="R23" s="14">
        <f t="shared" si="26"/>
        <v>48107</v>
      </c>
      <c r="S23" s="14">
        <f t="shared" si="8"/>
        <v>2219</v>
      </c>
      <c r="T23" s="47">
        <v>4.2</v>
      </c>
      <c r="U23" s="70">
        <f>MIN(ROUNDUP(IF('Manual Data'!E22=1,IF(A23='Manual Data'!N22,ROUND(U22*103%-0.01,0),U22),'Manual Data'!E22),-1),NBPH1)</f>
        <v>38090</v>
      </c>
      <c r="V23" s="70">
        <f>MIN(ROUNDUP(IF('Manual Data'!H22=1,IF(A23='Manual Data'!N22,ROUND(V22*103%-0.01,0),V22),'Manual Data'!H22),-1),HPS)</f>
        <v>40220</v>
      </c>
      <c r="W23" s="70">
        <f>MIN(IF('Manual Data'!D22=1,IF(A23='Manual Data'!N22,W22+'Manual Data'!O22,W22),'Manual Data'!D22),OBPH1)</f>
        <v>17200</v>
      </c>
      <c r="X23" s="46">
        <f t="shared" si="9"/>
        <v>1</v>
      </c>
      <c r="Y23" s="46">
        <f t="shared" si="27"/>
        <v>0</v>
      </c>
      <c r="Z23" s="46">
        <f t="shared" si="10"/>
        <v>0</v>
      </c>
      <c r="AA23" s="46">
        <f t="shared" si="11"/>
        <v>0</v>
      </c>
      <c r="AB23" s="46">
        <f t="shared" si="12"/>
        <v>0</v>
      </c>
      <c r="AC23" s="46">
        <f t="shared" si="13"/>
        <v>2219</v>
      </c>
      <c r="AD23" s="151">
        <f t="shared" si="14"/>
        <v>17200</v>
      </c>
      <c r="AE23" s="152">
        <f t="shared" si="15"/>
        <v>8600</v>
      </c>
      <c r="AF23" s="152">
        <f>ROUND((AD23+AE23)*26%,0)</f>
        <v>6708</v>
      </c>
      <c r="AG23" s="152">
        <f>IF(X23=1,IF($E$7="No",ROUND((AD23+AE23)*IF('Manual Data'!F22=1%,$M$5,'Manual Data'!F22),0),0),0)</f>
        <v>3870</v>
      </c>
      <c r="AH23" s="152">
        <f>IF(X23=1,IF(AD24=0,0,IF($F$7="Yes",IF('Manual Data'!G22=1,IF(OR($E$6="A",$E$6="A-1"),IF(OR($F$6="E1A",$F$6="E2A"),800,1400),IF(NOT(OR($F$6="E1A",$F$6="E2A")),800,500)),'Manual Data'!G22),0)),0)</f>
        <v>1400</v>
      </c>
      <c r="AI23" s="152">
        <f t="shared" si="16"/>
        <v>344</v>
      </c>
      <c r="AJ23" s="152">
        <f t="shared" si="17"/>
        <v>344</v>
      </c>
      <c r="AK23" s="152">
        <f t="shared" si="18"/>
        <v>240</v>
      </c>
      <c r="AL23" s="153">
        <f t="shared" si="28"/>
        <v>38706</v>
      </c>
      <c r="AM23" s="45"/>
      <c r="AN23" s="45"/>
      <c r="AO23" s="45"/>
      <c r="AP23" s="45"/>
      <c r="AQ23" s="45"/>
      <c r="AR23" s="45"/>
      <c r="AS23" s="45"/>
      <c r="AT23" s="45"/>
      <c r="AU23" s="45"/>
      <c r="AV23" s="45"/>
      <c r="AW23" s="45">
        <v>12</v>
      </c>
      <c r="AX23" s="45">
        <f t="shared" si="29"/>
        <v>35560</v>
      </c>
      <c r="AY23" s="45"/>
      <c r="AZ23" s="46">
        <v>28</v>
      </c>
      <c r="BA23" s="46">
        <v>9.178</v>
      </c>
    </row>
    <row r="24" spans="1:53" s="3" customFormat="1" ht="12" customHeight="1">
      <c r="A24" s="9" t="s">
        <v>12</v>
      </c>
      <c r="B24" s="53" t="s">
        <v>23</v>
      </c>
      <c r="C24" s="14">
        <f t="shared" si="0"/>
        <v>38090</v>
      </c>
      <c r="D24" s="15">
        <f t="shared" si="19"/>
        <v>2209</v>
      </c>
      <c r="E24" s="15">
        <f t="shared" si="1"/>
        <v>3870</v>
      </c>
      <c r="F24" s="15">
        <f t="shared" si="2"/>
        <v>1400</v>
      </c>
      <c r="G24" s="15">
        <f t="shared" si="3"/>
        <v>344</v>
      </c>
      <c r="H24" s="15">
        <f t="shared" si="4"/>
        <v>344</v>
      </c>
      <c r="I24" s="15">
        <f t="shared" si="5"/>
        <v>240</v>
      </c>
      <c r="J24" s="14">
        <f t="shared" si="6"/>
        <v>46497</v>
      </c>
      <c r="K24" s="14">
        <f t="shared" si="7"/>
        <v>40220</v>
      </c>
      <c r="L24" s="15">
        <f t="shared" si="20"/>
        <v>2333</v>
      </c>
      <c r="M24" s="15">
        <f t="shared" si="21"/>
        <v>3870</v>
      </c>
      <c r="N24" s="15">
        <f t="shared" si="22"/>
        <v>1400</v>
      </c>
      <c r="O24" s="15">
        <f t="shared" si="23"/>
        <v>344</v>
      </c>
      <c r="P24" s="15">
        <f t="shared" si="24"/>
        <v>344</v>
      </c>
      <c r="Q24" s="15">
        <f t="shared" si="25"/>
        <v>240</v>
      </c>
      <c r="R24" s="14">
        <f t="shared" si="26"/>
        <v>48751</v>
      </c>
      <c r="S24" s="14">
        <f t="shared" si="8"/>
        <v>2254</v>
      </c>
      <c r="T24" s="47">
        <v>5.8</v>
      </c>
      <c r="U24" s="70">
        <f>MIN(ROUNDUP(IF('Manual Data'!E23=1,IF(A24='Manual Data'!N23,ROUND(U23*103%-0.01,0),U23),'Manual Data'!E23),-1),NBPH1)</f>
        <v>38090</v>
      </c>
      <c r="V24" s="70">
        <f>MIN(ROUNDUP(IF('Manual Data'!H23=1,IF(A24='Manual Data'!N23,ROUND(V23*103%-0.01,0),V23),'Manual Data'!H23),-1),HPS)</f>
        <v>40220</v>
      </c>
      <c r="W24" s="70">
        <f>MIN(IF('Manual Data'!D23=1,IF(A24='Manual Data'!N23,W23+'Manual Data'!O23,W23),'Manual Data'!D23),OBPH1)</f>
        <v>17200</v>
      </c>
      <c r="X24" s="46">
        <f t="shared" si="9"/>
        <v>1</v>
      </c>
      <c r="Y24" s="46">
        <f t="shared" si="27"/>
        <v>0</v>
      </c>
      <c r="Z24" s="46">
        <f t="shared" si="10"/>
        <v>0</v>
      </c>
      <c r="AA24" s="46">
        <f t="shared" si="11"/>
        <v>0</v>
      </c>
      <c r="AB24" s="46">
        <f t="shared" si="12"/>
        <v>0</v>
      </c>
      <c r="AC24" s="46">
        <f t="shared" si="13"/>
        <v>2254</v>
      </c>
      <c r="AD24" s="151">
        <f t="shared" si="14"/>
        <v>17200</v>
      </c>
      <c r="AE24" s="152">
        <f t="shared" si="15"/>
        <v>8600</v>
      </c>
      <c r="AF24" s="152">
        <f>ROUND((AD24+AE24)*28.6%,0)</f>
        <v>7379</v>
      </c>
      <c r="AG24" s="152">
        <f>IF(X24=1,IF($E$7="No",ROUND((AD24+AE24)*IF('Manual Data'!F23=1%,$M$5,'Manual Data'!F23),0),0),0)</f>
        <v>3870</v>
      </c>
      <c r="AH24" s="152">
        <f>IF(X24=1,IF(AD25=0,0,IF($F$7="Yes",IF('Manual Data'!G23=1,IF(OR($E$6="A",$E$6="A-1"),IF(OR($F$6="E1A",$F$6="E2A"),800,1400),IF(NOT(OR($F$6="E1A",$F$6="E2A")),800,500)),'Manual Data'!G23),0)),0)</f>
        <v>1400</v>
      </c>
      <c r="AI24" s="152">
        <f t="shared" si="16"/>
        <v>344</v>
      </c>
      <c r="AJ24" s="152">
        <f t="shared" si="17"/>
        <v>344</v>
      </c>
      <c r="AK24" s="152">
        <f t="shared" si="18"/>
        <v>240</v>
      </c>
      <c r="AL24" s="153">
        <f t="shared" si="28"/>
        <v>39377</v>
      </c>
      <c r="AM24" s="45"/>
      <c r="AN24" s="45" t="str">
        <f>INDEX($AN$12:$AY$22,MATCH($E$3,$AN$12:$AN$22,0),12)</f>
        <v>RR3</v>
      </c>
      <c r="AO24" s="45"/>
      <c r="AP24" s="45"/>
      <c r="AQ24" s="45"/>
      <c r="AR24" s="45"/>
      <c r="AS24" s="45"/>
      <c r="AT24" s="45"/>
      <c r="AU24" s="45"/>
      <c r="AV24" s="45"/>
      <c r="AW24" s="45">
        <v>13</v>
      </c>
      <c r="AX24" s="45">
        <f t="shared" si="29"/>
        <v>36630</v>
      </c>
      <c r="AY24" s="45"/>
      <c r="AZ24" s="46">
        <v>29</v>
      </c>
      <c r="BA24" s="46">
        <v>9.176</v>
      </c>
    </row>
    <row r="25" spans="1:53" s="3" customFormat="1" ht="12" customHeight="1">
      <c r="A25" s="9" t="s">
        <v>13</v>
      </c>
      <c r="B25" s="53" t="s">
        <v>23</v>
      </c>
      <c r="C25" s="14">
        <f t="shared" si="0"/>
        <v>38090</v>
      </c>
      <c r="D25" s="15">
        <f t="shared" si="19"/>
        <v>2209</v>
      </c>
      <c r="E25" s="15">
        <f t="shared" si="1"/>
        <v>3870</v>
      </c>
      <c r="F25" s="15">
        <f t="shared" si="2"/>
        <v>1400</v>
      </c>
      <c r="G25" s="15">
        <f t="shared" si="3"/>
        <v>344</v>
      </c>
      <c r="H25" s="15">
        <f t="shared" si="4"/>
        <v>344</v>
      </c>
      <c r="I25" s="15">
        <f t="shared" si="5"/>
        <v>240</v>
      </c>
      <c r="J25" s="14">
        <f t="shared" si="6"/>
        <v>46497</v>
      </c>
      <c r="K25" s="14">
        <f t="shared" si="7"/>
        <v>40220</v>
      </c>
      <c r="L25" s="15">
        <f t="shared" si="20"/>
        <v>2333</v>
      </c>
      <c r="M25" s="15">
        <f t="shared" si="21"/>
        <v>3870</v>
      </c>
      <c r="N25" s="15">
        <f t="shared" si="22"/>
        <v>1400</v>
      </c>
      <c r="O25" s="15">
        <f t="shared" si="23"/>
        <v>344</v>
      </c>
      <c r="P25" s="15">
        <f t="shared" si="24"/>
        <v>344</v>
      </c>
      <c r="Q25" s="15">
        <f t="shared" si="25"/>
        <v>240</v>
      </c>
      <c r="R25" s="14">
        <f t="shared" si="26"/>
        <v>48751</v>
      </c>
      <c r="S25" s="14">
        <f t="shared" si="8"/>
        <v>2254</v>
      </c>
      <c r="T25" s="47">
        <v>5.8</v>
      </c>
      <c r="U25" s="70">
        <f>MIN(ROUNDUP(IF('Manual Data'!E24=1,IF(A25='Manual Data'!N24,ROUND(U24*103%-0.01,0),U24),'Manual Data'!E24),-1),NBPH1)</f>
        <v>38090</v>
      </c>
      <c r="V25" s="70">
        <f>MIN(ROUNDUP(IF('Manual Data'!H24=1,IF(A25='Manual Data'!N24,ROUND(V24*103%-0.01,0),V24),'Manual Data'!H24),-1),HPS)</f>
        <v>40220</v>
      </c>
      <c r="W25" s="70">
        <f>MIN(IF('Manual Data'!D24=1,IF(A25='Manual Data'!N24,W24+'Manual Data'!O24,W24),'Manual Data'!D24),OBPH1)</f>
        <v>17200</v>
      </c>
      <c r="X25" s="46">
        <f t="shared" si="9"/>
        <v>1</v>
      </c>
      <c r="Y25" s="46">
        <f t="shared" si="27"/>
        <v>0</v>
      </c>
      <c r="Z25" s="46">
        <f t="shared" si="10"/>
        <v>0</v>
      </c>
      <c r="AA25" s="46">
        <f t="shared" si="11"/>
        <v>0</v>
      </c>
      <c r="AB25" s="46">
        <f t="shared" si="12"/>
        <v>0</v>
      </c>
      <c r="AC25" s="46">
        <f t="shared" si="13"/>
        <v>2254</v>
      </c>
      <c r="AD25" s="151">
        <f t="shared" si="14"/>
        <v>17200</v>
      </c>
      <c r="AE25" s="152">
        <f t="shared" si="15"/>
        <v>8600</v>
      </c>
      <c r="AF25" s="152">
        <f>ROUND((AD25+AE25)*28.6%,0)</f>
        <v>7379</v>
      </c>
      <c r="AG25" s="152">
        <f>IF(X25=1,IF($E$7="No",ROUND((AD25+AE25)*IF('Manual Data'!F24=1%,$M$5,'Manual Data'!F24),0),0),0)</f>
        <v>3870</v>
      </c>
      <c r="AH25" s="152">
        <f>IF(X25=1,IF(AD26=0,0,IF($F$7="Yes",IF('Manual Data'!G24=1,IF(OR($E$6="A",$E$6="A-1"),IF(OR($F$6="E1A",$F$6="E2A"),800,1400),IF(NOT(OR($F$6="E1A",$F$6="E2A")),800,500)),'Manual Data'!G24),0)),0)</f>
        <v>1400</v>
      </c>
      <c r="AI25" s="152">
        <f t="shared" si="16"/>
        <v>344</v>
      </c>
      <c r="AJ25" s="152">
        <f t="shared" si="17"/>
        <v>344</v>
      </c>
      <c r="AK25" s="152">
        <f t="shared" si="18"/>
        <v>240</v>
      </c>
      <c r="AL25" s="153">
        <f t="shared" si="28"/>
        <v>39377</v>
      </c>
      <c r="AM25" s="45"/>
      <c r="AN25" s="45"/>
      <c r="AO25" s="45"/>
      <c r="AP25" s="45"/>
      <c r="AQ25" s="45"/>
      <c r="AR25" s="45"/>
      <c r="AS25" s="45"/>
      <c r="AT25" s="45"/>
      <c r="AU25" s="45"/>
      <c r="AV25" s="45"/>
      <c r="AW25" s="45">
        <v>14</v>
      </c>
      <c r="AX25" s="45">
        <f t="shared" si="29"/>
        <v>37730</v>
      </c>
      <c r="AY25" s="45"/>
      <c r="AZ25" s="46">
        <v>30</v>
      </c>
      <c r="BA25" s="46">
        <v>9.173</v>
      </c>
    </row>
    <row r="26" spans="1:53" s="3" customFormat="1" ht="12" customHeight="1">
      <c r="A26" s="9" t="s">
        <v>14</v>
      </c>
      <c r="B26" s="53" t="s">
        <v>23</v>
      </c>
      <c r="C26" s="14">
        <f t="shared" si="0"/>
        <v>39240</v>
      </c>
      <c r="D26" s="15">
        <f t="shared" si="19"/>
        <v>2276</v>
      </c>
      <c r="E26" s="15">
        <f t="shared" si="1"/>
        <v>3949</v>
      </c>
      <c r="F26" s="15">
        <f t="shared" si="2"/>
        <v>1400</v>
      </c>
      <c r="G26" s="15">
        <f t="shared" si="3"/>
        <v>351</v>
      </c>
      <c r="H26" s="15">
        <f t="shared" si="4"/>
        <v>351</v>
      </c>
      <c r="I26" s="15">
        <f t="shared" si="5"/>
        <v>240</v>
      </c>
      <c r="J26" s="14">
        <f t="shared" si="6"/>
        <v>47807</v>
      </c>
      <c r="K26" s="14">
        <f t="shared" si="7"/>
        <v>41430</v>
      </c>
      <c r="L26" s="15">
        <f t="shared" si="20"/>
        <v>2403</v>
      </c>
      <c r="M26" s="15">
        <f t="shared" si="21"/>
        <v>3949</v>
      </c>
      <c r="N26" s="15">
        <f t="shared" si="22"/>
        <v>1400</v>
      </c>
      <c r="O26" s="15">
        <f t="shared" si="23"/>
        <v>351</v>
      </c>
      <c r="P26" s="15">
        <f t="shared" si="24"/>
        <v>351</v>
      </c>
      <c r="Q26" s="15">
        <f t="shared" si="25"/>
        <v>240</v>
      </c>
      <c r="R26" s="14">
        <f t="shared" si="26"/>
        <v>50124</v>
      </c>
      <c r="S26" s="14">
        <f t="shared" si="8"/>
        <v>2317</v>
      </c>
      <c r="T26" s="47">
        <v>5.8</v>
      </c>
      <c r="U26" s="70">
        <f>MIN(ROUNDUP(IF('Manual Data'!E25=1,IF(A26='Manual Data'!N25,ROUND(U25*103%-0.01,0),U25),'Manual Data'!E25),-1),NBPH1)</f>
        <v>39240</v>
      </c>
      <c r="V26" s="70">
        <f>MIN(ROUNDUP(IF('Manual Data'!H25=1,IF(A26='Manual Data'!N25,ROUND(V25*103%-0.01,0),V25),'Manual Data'!H25),-1),HPS)</f>
        <v>41430</v>
      </c>
      <c r="W26" s="70">
        <f>MIN(IF('Manual Data'!D25=1,IF(A26='Manual Data'!N25,W25+'Manual Data'!O25,W25),'Manual Data'!D25),OBPH1)</f>
        <v>17550</v>
      </c>
      <c r="X26" s="46">
        <f t="shared" si="9"/>
        <v>1</v>
      </c>
      <c r="Y26" s="46">
        <f t="shared" si="27"/>
        <v>0</v>
      </c>
      <c r="Z26" s="46">
        <f t="shared" si="10"/>
        <v>0</v>
      </c>
      <c r="AA26" s="46">
        <f t="shared" si="11"/>
        <v>0</v>
      </c>
      <c r="AB26" s="46">
        <f t="shared" si="12"/>
        <v>0</v>
      </c>
      <c r="AC26" s="46">
        <f t="shared" si="13"/>
        <v>2317</v>
      </c>
      <c r="AD26" s="151">
        <f t="shared" si="14"/>
        <v>17550</v>
      </c>
      <c r="AE26" s="152">
        <f t="shared" si="15"/>
        <v>8775</v>
      </c>
      <c r="AF26" s="152">
        <f>ROUND((AD26+AE26)*28.6%,0)</f>
        <v>7529</v>
      </c>
      <c r="AG26" s="152">
        <f>IF(X26=1,IF($E$7="No",ROUND((AD26+AE26)*IF('Manual Data'!F25=1%,$M$5,'Manual Data'!F25),0),0),0)</f>
        <v>3949</v>
      </c>
      <c r="AH26" s="152">
        <f>IF(X26=1,IF(AD27=0,0,IF($F$7="Yes",IF('Manual Data'!G25=1,IF(OR($E$6="A",$E$6="A-1"),IF(OR($F$6="E1A",$F$6="E2A"),800,1400),IF(NOT(OR($F$6="E1A",$F$6="E2A")),800,500)),'Manual Data'!G25),0)),0)</f>
        <v>1400</v>
      </c>
      <c r="AI26" s="152">
        <f t="shared" si="16"/>
        <v>351</v>
      </c>
      <c r="AJ26" s="152">
        <f t="shared" si="17"/>
        <v>351</v>
      </c>
      <c r="AK26" s="152">
        <f t="shared" si="18"/>
        <v>240</v>
      </c>
      <c r="AL26" s="153">
        <f t="shared" si="28"/>
        <v>40145</v>
      </c>
      <c r="AM26" s="45"/>
      <c r="AN26" s="45"/>
      <c r="AO26" s="45"/>
      <c r="AP26" s="45"/>
      <c r="AQ26" s="45"/>
      <c r="AR26" s="45"/>
      <c r="AS26" s="45"/>
      <c r="AT26" s="45"/>
      <c r="AU26" s="45"/>
      <c r="AV26" s="45"/>
      <c r="AW26" s="45">
        <v>15</v>
      </c>
      <c r="AX26" s="45">
        <f>ROUNDUP(AX25*103%,-1)</f>
        <v>38870</v>
      </c>
      <c r="AY26" s="45"/>
      <c r="AZ26" s="46">
        <v>31</v>
      </c>
      <c r="BA26" s="46">
        <v>9.169</v>
      </c>
    </row>
    <row r="27" spans="1:53" s="3" customFormat="1" ht="12" customHeight="1">
      <c r="A27" s="9" t="s">
        <v>15</v>
      </c>
      <c r="B27" s="53" t="s">
        <v>23</v>
      </c>
      <c r="C27" s="14">
        <f t="shared" si="0"/>
        <v>39240</v>
      </c>
      <c r="D27" s="15">
        <f t="shared" si="19"/>
        <v>2472</v>
      </c>
      <c r="E27" s="15">
        <f t="shared" si="1"/>
        <v>3949</v>
      </c>
      <c r="F27" s="15">
        <f t="shared" si="2"/>
        <v>1400</v>
      </c>
      <c r="G27" s="15">
        <f t="shared" si="3"/>
        <v>351</v>
      </c>
      <c r="H27" s="15">
        <f t="shared" si="4"/>
        <v>351</v>
      </c>
      <c r="I27" s="15">
        <f t="shared" si="5"/>
        <v>240</v>
      </c>
      <c r="J27" s="14">
        <f t="shared" si="6"/>
        <v>48003</v>
      </c>
      <c r="K27" s="14">
        <f t="shared" si="7"/>
        <v>41430</v>
      </c>
      <c r="L27" s="15">
        <f t="shared" si="20"/>
        <v>2610</v>
      </c>
      <c r="M27" s="15">
        <f t="shared" si="21"/>
        <v>3949</v>
      </c>
      <c r="N27" s="15">
        <f t="shared" si="22"/>
        <v>1400</v>
      </c>
      <c r="O27" s="15">
        <f t="shared" si="23"/>
        <v>351</v>
      </c>
      <c r="P27" s="15">
        <f t="shared" si="24"/>
        <v>351</v>
      </c>
      <c r="Q27" s="15">
        <f t="shared" si="25"/>
        <v>240</v>
      </c>
      <c r="R27" s="14">
        <f t="shared" si="26"/>
        <v>50331</v>
      </c>
      <c r="S27" s="14">
        <f t="shared" si="8"/>
        <v>2328</v>
      </c>
      <c r="T27" s="47">
        <v>6.3</v>
      </c>
      <c r="U27" s="70">
        <f>MIN(ROUNDUP(IF('Manual Data'!E26=1,IF(A27='Manual Data'!N26,ROUND(U26*103%-0.01,0),U26),'Manual Data'!E26),-1),NBPH1)</f>
        <v>39240</v>
      </c>
      <c r="V27" s="70">
        <f>MIN(ROUNDUP(IF('Manual Data'!H26=1,IF(A27='Manual Data'!N26,ROUND(V26*103%-0.01,0),V26),'Manual Data'!H26),-1),HPS)</f>
        <v>41430</v>
      </c>
      <c r="W27" s="70">
        <f>MIN(IF('Manual Data'!D26=1,IF(A27='Manual Data'!N26,W26+'Manual Data'!O26,W26),'Manual Data'!D26),OBPH1)</f>
        <v>17550</v>
      </c>
      <c r="X27" s="46">
        <f t="shared" si="9"/>
        <v>1</v>
      </c>
      <c r="Y27" s="46">
        <f t="shared" si="27"/>
        <v>0</v>
      </c>
      <c r="Z27" s="46">
        <f t="shared" si="10"/>
        <v>0</v>
      </c>
      <c r="AA27" s="46">
        <f t="shared" si="11"/>
        <v>0</v>
      </c>
      <c r="AB27" s="46">
        <f t="shared" si="12"/>
        <v>0</v>
      </c>
      <c r="AC27" s="46">
        <f t="shared" si="13"/>
        <v>2328</v>
      </c>
      <c r="AD27" s="151">
        <f t="shared" si="14"/>
        <v>17550</v>
      </c>
      <c r="AE27" s="152">
        <f t="shared" si="15"/>
        <v>8775</v>
      </c>
      <c r="AF27" s="152">
        <f>ROUND((AD27+AE27)*29.4%,0)</f>
        <v>7740</v>
      </c>
      <c r="AG27" s="152">
        <f>IF(X27=1,IF($E$7="No",ROUND((AD27+AE27)*IF('Manual Data'!F26=1%,$M$5,'Manual Data'!F26),0),0),0)</f>
        <v>3949</v>
      </c>
      <c r="AH27" s="152">
        <f>IF(X27=1,IF(AD28=0,0,IF($F$7="Yes",IF('Manual Data'!G26=1,IF(OR($E$6="A",$E$6="A-1"),IF(OR($F$6="E1A",$F$6="E2A"),800,1400),IF(NOT(OR($F$6="E1A",$F$6="E2A")),800,500)),'Manual Data'!G26),0)),0)</f>
        <v>1400</v>
      </c>
      <c r="AI27" s="152">
        <f t="shared" si="16"/>
        <v>351</v>
      </c>
      <c r="AJ27" s="152">
        <f t="shared" si="17"/>
        <v>351</v>
      </c>
      <c r="AK27" s="152">
        <f t="shared" si="18"/>
        <v>240</v>
      </c>
      <c r="AL27" s="153">
        <f t="shared" si="28"/>
        <v>40356</v>
      </c>
      <c r="AM27" s="45"/>
      <c r="AN27" s="45"/>
      <c r="AO27" s="45"/>
      <c r="AP27" s="45"/>
      <c r="AQ27" s="45"/>
      <c r="AR27" s="45"/>
      <c r="AS27" s="45"/>
      <c r="AT27" s="45"/>
      <c r="AU27" s="45"/>
      <c r="AV27" s="45"/>
      <c r="AW27" s="45">
        <v>16</v>
      </c>
      <c r="AX27" s="45">
        <f t="shared" si="29"/>
        <v>40040</v>
      </c>
      <c r="AY27" s="45"/>
      <c r="AZ27" s="46">
        <v>32</v>
      </c>
      <c r="BA27" s="46">
        <v>9.164</v>
      </c>
    </row>
    <row r="28" spans="1:53" s="3" customFormat="1" ht="12" customHeight="1">
      <c r="A28" s="9" t="s">
        <v>16</v>
      </c>
      <c r="B28" s="53" t="s">
        <v>23</v>
      </c>
      <c r="C28" s="14">
        <f t="shared" si="0"/>
        <v>39240</v>
      </c>
      <c r="D28" s="15">
        <f t="shared" si="19"/>
        <v>2472</v>
      </c>
      <c r="E28" s="15">
        <f t="shared" si="1"/>
        <v>3949</v>
      </c>
      <c r="F28" s="15">
        <f t="shared" si="2"/>
        <v>1400</v>
      </c>
      <c r="G28" s="15">
        <f t="shared" si="3"/>
        <v>351</v>
      </c>
      <c r="H28" s="15">
        <f t="shared" si="4"/>
        <v>351</v>
      </c>
      <c r="I28" s="15">
        <f t="shared" si="5"/>
        <v>240</v>
      </c>
      <c r="J28" s="14">
        <f t="shared" si="6"/>
        <v>48003</v>
      </c>
      <c r="K28" s="14">
        <f t="shared" si="7"/>
        <v>41430</v>
      </c>
      <c r="L28" s="15">
        <f t="shared" si="20"/>
        <v>2610</v>
      </c>
      <c r="M28" s="15">
        <f t="shared" si="21"/>
        <v>3949</v>
      </c>
      <c r="N28" s="15">
        <f t="shared" si="22"/>
        <v>1400</v>
      </c>
      <c r="O28" s="15">
        <f t="shared" si="23"/>
        <v>351</v>
      </c>
      <c r="P28" s="15">
        <f t="shared" si="24"/>
        <v>351</v>
      </c>
      <c r="Q28" s="15">
        <f t="shared" si="25"/>
        <v>240</v>
      </c>
      <c r="R28" s="14">
        <f t="shared" si="26"/>
        <v>50331</v>
      </c>
      <c r="S28" s="14">
        <f t="shared" si="8"/>
        <v>2328</v>
      </c>
      <c r="T28" s="47">
        <v>6.3</v>
      </c>
      <c r="U28" s="70">
        <f>MIN(ROUNDUP(IF('Manual Data'!E27=1,IF(A28='Manual Data'!N27,ROUND(U27*103%-0.01,0),U27),'Manual Data'!E27),-1),NBPH1)</f>
        <v>39240</v>
      </c>
      <c r="V28" s="70">
        <f>MIN(ROUNDUP(IF('Manual Data'!H27=1,IF(A28='Manual Data'!N27,ROUND(V27*103%-0.01,0),V27),'Manual Data'!H27),-1),HPS)</f>
        <v>41430</v>
      </c>
      <c r="W28" s="70">
        <f>MIN(IF('Manual Data'!D27=1,IF(A28='Manual Data'!N27,W27+'Manual Data'!O27,W27),'Manual Data'!D27),OBPH1)</f>
        <v>17550</v>
      </c>
      <c r="X28" s="46">
        <f t="shared" si="9"/>
        <v>1</v>
      </c>
      <c r="Y28" s="46">
        <f t="shared" si="27"/>
        <v>0</v>
      </c>
      <c r="Z28" s="46">
        <f t="shared" si="10"/>
        <v>0</v>
      </c>
      <c r="AA28" s="46">
        <f t="shared" si="11"/>
        <v>0</v>
      </c>
      <c r="AB28" s="46">
        <f t="shared" si="12"/>
        <v>0</v>
      </c>
      <c r="AC28" s="46">
        <f t="shared" si="13"/>
        <v>2328</v>
      </c>
      <c r="AD28" s="151">
        <f t="shared" si="14"/>
        <v>17550</v>
      </c>
      <c r="AE28" s="152">
        <f t="shared" si="15"/>
        <v>8775</v>
      </c>
      <c r="AF28" s="152">
        <f>ROUND((AD28+AE28)*29.4%,0)</f>
        <v>7740</v>
      </c>
      <c r="AG28" s="152">
        <f>IF(X28=1,IF($E$7="No",ROUND((AD28+AE28)*IF('Manual Data'!F27=1%,$M$5,'Manual Data'!F27),0),0),0)</f>
        <v>3949</v>
      </c>
      <c r="AH28" s="152">
        <f>IF(X28=1,IF(AD29=0,0,IF($F$7="Yes",IF('Manual Data'!G27=1,IF(OR($E$6="A",$E$6="A-1"),IF(OR($F$6="E1A",$F$6="E2A"),800,1400),IF(NOT(OR($F$6="E1A",$F$6="E2A")),800,500)),'Manual Data'!G27),0)),0)</f>
        <v>1400</v>
      </c>
      <c r="AI28" s="152">
        <f t="shared" si="16"/>
        <v>351</v>
      </c>
      <c r="AJ28" s="152">
        <f t="shared" si="17"/>
        <v>351</v>
      </c>
      <c r="AK28" s="152">
        <f t="shared" si="18"/>
        <v>240</v>
      </c>
      <c r="AL28" s="153">
        <f t="shared" si="28"/>
        <v>40356</v>
      </c>
      <c r="AM28" s="45"/>
      <c r="AN28" s="45"/>
      <c r="AO28" s="45"/>
      <c r="AP28" s="45"/>
      <c r="AQ28" s="45"/>
      <c r="AR28" s="45"/>
      <c r="AS28" s="45"/>
      <c r="AT28" s="45"/>
      <c r="AU28" s="45"/>
      <c r="AV28" s="45"/>
      <c r="AW28" s="45">
        <v>17</v>
      </c>
      <c r="AX28" s="45">
        <f t="shared" si="29"/>
        <v>41250</v>
      </c>
      <c r="AY28" s="45"/>
      <c r="AZ28" s="46">
        <v>33</v>
      </c>
      <c r="BA28" s="46">
        <v>9.159</v>
      </c>
    </row>
    <row r="29" spans="1:53" s="3" customFormat="1" ht="12" customHeight="1">
      <c r="A29" s="9" t="s">
        <v>17</v>
      </c>
      <c r="B29" s="53" t="s">
        <v>23</v>
      </c>
      <c r="C29" s="14">
        <f t="shared" si="0"/>
        <v>39240</v>
      </c>
      <c r="D29" s="15">
        <f t="shared" si="19"/>
        <v>2472</v>
      </c>
      <c r="E29" s="15">
        <f t="shared" si="1"/>
        <v>3949</v>
      </c>
      <c r="F29" s="15">
        <f t="shared" si="2"/>
        <v>1400</v>
      </c>
      <c r="G29" s="15">
        <f t="shared" si="3"/>
        <v>351</v>
      </c>
      <c r="H29" s="15">
        <f t="shared" si="4"/>
        <v>351</v>
      </c>
      <c r="I29" s="15">
        <f t="shared" si="5"/>
        <v>240</v>
      </c>
      <c r="J29" s="14">
        <f t="shared" si="6"/>
        <v>48003</v>
      </c>
      <c r="K29" s="14">
        <f t="shared" si="7"/>
        <v>41430</v>
      </c>
      <c r="L29" s="15">
        <f t="shared" si="20"/>
        <v>2610</v>
      </c>
      <c r="M29" s="15">
        <f t="shared" si="21"/>
        <v>3949</v>
      </c>
      <c r="N29" s="15">
        <f t="shared" si="22"/>
        <v>1400</v>
      </c>
      <c r="O29" s="15">
        <f t="shared" si="23"/>
        <v>351</v>
      </c>
      <c r="P29" s="15">
        <f t="shared" si="24"/>
        <v>351</v>
      </c>
      <c r="Q29" s="15">
        <f t="shared" si="25"/>
        <v>240</v>
      </c>
      <c r="R29" s="14">
        <f t="shared" si="26"/>
        <v>50331</v>
      </c>
      <c r="S29" s="14">
        <f t="shared" si="8"/>
        <v>2328</v>
      </c>
      <c r="T29" s="47">
        <v>6.3</v>
      </c>
      <c r="U29" s="70">
        <f>MIN(ROUNDUP(IF('Manual Data'!E28=1,IF(A29='Manual Data'!N28,ROUND(U28*103%-0.01,0),U28),'Manual Data'!E28),-1),NBPH1)</f>
        <v>39240</v>
      </c>
      <c r="V29" s="70">
        <f>MIN(ROUNDUP(IF('Manual Data'!H28=1,IF(A29='Manual Data'!N28,ROUND(V28*103%-0.01,0),V28),'Manual Data'!H28),-1),HPS)</f>
        <v>41430</v>
      </c>
      <c r="W29" s="70">
        <f>MIN(IF('Manual Data'!D28=1,IF(A29='Manual Data'!N28,W28+'Manual Data'!O28,W28),'Manual Data'!D28),OBPH1)</f>
        <v>17550</v>
      </c>
      <c r="X29" s="46">
        <f t="shared" si="9"/>
        <v>1</v>
      </c>
      <c r="Y29" s="46">
        <f t="shared" si="27"/>
        <v>0</v>
      </c>
      <c r="Z29" s="46">
        <f t="shared" si="10"/>
        <v>0</v>
      </c>
      <c r="AA29" s="46">
        <f t="shared" si="11"/>
        <v>0</v>
      </c>
      <c r="AB29" s="46">
        <f t="shared" si="12"/>
        <v>0</v>
      </c>
      <c r="AC29" s="46">
        <f t="shared" si="13"/>
        <v>2328</v>
      </c>
      <c r="AD29" s="151">
        <f t="shared" si="14"/>
        <v>17550</v>
      </c>
      <c r="AE29" s="152">
        <f t="shared" si="15"/>
        <v>8775</v>
      </c>
      <c r="AF29" s="152">
        <f>ROUND((AD29+AE29)*29.4%,0)</f>
        <v>7740</v>
      </c>
      <c r="AG29" s="152">
        <f>IF(X29=1,IF($E$7="No",ROUND((AD29+AE29)*IF('Manual Data'!F28=1%,$M$5,'Manual Data'!F28),0),0),0)</f>
        <v>3949</v>
      </c>
      <c r="AH29" s="152">
        <f>IF(X29=1,IF(AD30=0,0,IF($F$7="Yes",IF('Manual Data'!G28=1,IF(OR($E$6="A",$E$6="A-1"),IF(OR($F$6="E1A",$F$6="E2A"),800,1400),IF(NOT(OR($F$6="E1A",$F$6="E2A")),800,500)),'Manual Data'!G28),0)),0)</f>
        <v>1400</v>
      </c>
      <c r="AI29" s="152">
        <f t="shared" si="16"/>
        <v>351</v>
      </c>
      <c r="AJ29" s="152">
        <f t="shared" si="17"/>
        <v>351</v>
      </c>
      <c r="AK29" s="152">
        <f t="shared" si="18"/>
        <v>240</v>
      </c>
      <c r="AL29" s="153">
        <f t="shared" si="28"/>
        <v>40356</v>
      </c>
      <c r="AM29" s="45"/>
      <c r="AN29" s="45"/>
      <c r="AO29" s="45"/>
      <c r="AP29" s="45"/>
      <c r="AQ29" s="45"/>
      <c r="AR29" s="45"/>
      <c r="AS29" s="45"/>
      <c r="AT29" s="45"/>
      <c r="AU29" s="45"/>
      <c r="AV29" s="45"/>
      <c r="AW29" s="45">
        <v>18</v>
      </c>
      <c r="AX29" s="45">
        <f t="shared" si="29"/>
        <v>42490</v>
      </c>
      <c r="AY29" s="45"/>
      <c r="AZ29" s="46">
        <v>34</v>
      </c>
      <c r="BA29" s="46">
        <v>9.152</v>
      </c>
    </row>
    <row r="30" spans="1:53" s="3" customFormat="1" ht="12" customHeight="1">
      <c r="A30" s="9" t="s">
        <v>18</v>
      </c>
      <c r="B30" s="53" t="s">
        <v>23</v>
      </c>
      <c r="C30" s="14">
        <f t="shared" si="0"/>
        <v>39240</v>
      </c>
      <c r="D30" s="15">
        <f t="shared" si="19"/>
        <v>3610</v>
      </c>
      <c r="E30" s="15">
        <f t="shared" si="1"/>
        <v>3949</v>
      </c>
      <c r="F30" s="15">
        <f t="shared" si="2"/>
        <v>1400</v>
      </c>
      <c r="G30" s="15">
        <f t="shared" si="3"/>
        <v>351</v>
      </c>
      <c r="H30" s="15">
        <f t="shared" si="4"/>
        <v>351</v>
      </c>
      <c r="I30" s="15">
        <f t="shared" si="5"/>
        <v>240</v>
      </c>
      <c r="J30" s="14">
        <f t="shared" si="6"/>
        <v>49141</v>
      </c>
      <c r="K30" s="14">
        <f t="shared" si="7"/>
        <v>41430</v>
      </c>
      <c r="L30" s="15">
        <f t="shared" si="20"/>
        <v>3812</v>
      </c>
      <c r="M30" s="15">
        <f t="shared" si="21"/>
        <v>3949</v>
      </c>
      <c r="N30" s="15">
        <f t="shared" si="22"/>
        <v>1400</v>
      </c>
      <c r="O30" s="15">
        <f t="shared" si="23"/>
        <v>351</v>
      </c>
      <c r="P30" s="15">
        <f t="shared" si="24"/>
        <v>351</v>
      </c>
      <c r="Q30" s="15">
        <f t="shared" si="25"/>
        <v>240</v>
      </c>
      <c r="R30" s="14">
        <f t="shared" si="26"/>
        <v>51533</v>
      </c>
      <c r="S30" s="14">
        <f t="shared" si="8"/>
        <v>2392</v>
      </c>
      <c r="T30" s="47">
        <v>9.2</v>
      </c>
      <c r="U30" s="70">
        <f>MIN(ROUNDUP(IF('Manual Data'!E29=1,IF(A30='Manual Data'!N29,ROUND(U29*103%-0.01,0),U29),'Manual Data'!E29),-1),NBPH1)</f>
        <v>39240</v>
      </c>
      <c r="V30" s="70">
        <f>MIN(ROUNDUP(IF('Manual Data'!H29=1,IF(A30='Manual Data'!N29,ROUND(V29*103%-0.01,0),V29),'Manual Data'!H29),-1),HPS)</f>
        <v>41430</v>
      </c>
      <c r="W30" s="70">
        <f>MIN(IF('Manual Data'!D29=1,IF(A30='Manual Data'!N29,W29+'Manual Data'!O29,W29),'Manual Data'!D29),OBPH1)</f>
        <v>17550</v>
      </c>
      <c r="X30" s="46">
        <f t="shared" si="9"/>
        <v>1</v>
      </c>
      <c r="Y30" s="46">
        <f t="shared" si="27"/>
        <v>0</v>
      </c>
      <c r="Z30" s="46">
        <f t="shared" si="10"/>
        <v>0</v>
      </c>
      <c r="AA30" s="46">
        <f t="shared" si="11"/>
        <v>0</v>
      </c>
      <c r="AB30" s="46">
        <f t="shared" si="12"/>
        <v>0</v>
      </c>
      <c r="AC30" s="46">
        <f t="shared" si="13"/>
        <v>2392</v>
      </c>
      <c r="AD30" s="151">
        <f t="shared" si="14"/>
        <v>17550</v>
      </c>
      <c r="AE30" s="152">
        <f t="shared" si="15"/>
        <v>8775</v>
      </c>
      <c r="AF30" s="152">
        <f>ROUND((AD30+AE30)*34.4%,0)</f>
        <v>9056</v>
      </c>
      <c r="AG30" s="152">
        <f>IF(X30=1,IF($E$7="No",ROUND((AD30+AE30)*IF('Manual Data'!F29=1%,$M$5,'Manual Data'!F29),0),0),0)</f>
        <v>3949</v>
      </c>
      <c r="AH30" s="152">
        <f>IF(X30=1,IF(AD31=0,0,IF($F$7="Yes",IF('Manual Data'!G29=1,IF(OR($E$6="A",$E$6="A-1"),IF(OR($F$6="E1A",$F$6="E2A"),800,1400),IF(NOT(OR($F$6="E1A",$F$6="E2A")),800,500)),'Manual Data'!G29),0)),0)</f>
        <v>1400</v>
      </c>
      <c r="AI30" s="152">
        <f t="shared" si="16"/>
        <v>351</v>
      </c>
      <c r="AJ30" s="152">
        <f t="shared" si="17"/>
        <v>351</v>
      </c>
      <c r="AK30" s="152">
        <f t="shared" si="18"/>
        <v>240</v>
      </c>
      <c r="AL30" s="153">
        <f t="shared" si="28"/>
        <v>41672</v>
      </c>
      <c r="AM30" s="45"/>
      <c r="AN30" s="45"/>
      <c r="AO30" s="45"/>
      <c r="AP30" s="45"/>
      <c r="AQ30" s="45"/>
      <c r="AR30" s="45"/>
      <c r="AS30" s="45"/>
      <c r="AT30" s="45"/>
      <c r="AU30" s="45"/>
      <c r="AV30" s="45"/>
      <c r="AW30" s="45">
        <v>19</v>
      </c>
      <c r="AX30" s="45">
        <f t="shared" si="29"/>
        <v>43770</v>
      </c>
      <c r="AY30" s="45"/>
      <c r="AZ30" s="46">
        <v>35</v>
      </c>
      <c r="BA30" s="46">
        <v>9.145</v>
      </c>
    </row>
    <row r="31" spans="1:53" s="3" customFormat="1" ht="12" customHeight="1">
      <c r="A31" s="9" t="s">
        <v>19</v>
      </c>
      <c r="B31" s="53" t="s">
        <v>23</v>
      </c>
      <c r="C31" s="14">
        <f t="shared" si="0"/>
        <v>39240</v>
      </c>
      <c r="D31" s="15">
        <f t="shared" si="19"/>
        <v>3610</v>
      </c>
      <c r="E31" s="15">
        <f t="shared" si="1"/>
        <v>3949</v>
      </c>
      <c r="F31" s="15">
        <f t="shared" si="2"/>
        <v>1400</v>
      </c>
      <c r="G31" s="15">
        <f t="shared" si="3"/>
        <v>351</v>
      </c>
      <c r="H31" s="15">
        <f t="shared" si="4"/>
        <v>351</v>
      </c>
      <c r="I31" s="15">
        <f t="shared" si="5"/>
        <v>240</v>
      </c>
      <c r="J31" s="14">
        <f t="shared" si="6"/>
        <v>49141</v>
      </c>
      <c r="K31" s="14">
        <f t="shared" si="7"/>
        <v>41430</v>
      </c>
      <c r="L31" s="15">
        <f t="shared" si="20"/>
        <v>3812</v>
      </c>
      <c r="M31" s="15">
        <f t="shared" si="21"/>
        <v>3949</v>
      </c>
      <c r="N31" s="15">
        <f t="shared" si="22"/>
        <v>1400</v>
      </c>
      <c r="O31" s="15">
        <f t="shared" si="23"/>
        <v>351</v>
      </c>
      <c r="P31" s="15">
        <f t="shared" si="24"/>
        <v>351</v>
      </c>
      <c r="Q31" s="15">
        <f t="shared" si="25"/>
        <v>240</v>
      </c>
      <c r="R31" s="14">
        <f t="shared" si="26"/>
        <v>51533</v>
      </c>
      <c r="S31" s="14">
        <f t="shared" si="8"/>
        <v>2392</v>
      </c>
      <c r="T31" s="47">
        <v>9.2</v>
      </c>
      <c r="U31" s="70">
        <f>MIN(ROUNDUP(IF('Manual Data'!E30=1,IF(A31='Manual Data'!N30,ROUND(U30*103%-0.01,0),U30),'Manual Data'!E30),-1),NBPH1)</f>
        <v>39240</v>
      </c>
      <c r="V31" s="70">
        <f>MIN(ROUNDUP(IF('Manual Data'!H30=1,IF(A31='Manual Data'!N30,ROUND(V30*103%-0.01,0),V30),'Manual Data'!H30),-1),HPS)</f>
        <v>41430</v>
      </c>
      <c r="W31" s="70">
        <f>MIN(IF('Manual Data'!D30=1,IF(A31='Manual Data'!N30,W30+'Manual Data'!O30,W30),'Manual Data'!D30),OBPH1)</f>
        <v>17550</v>
      </c>
      <c r="X31" s="46">
        <f t="shared" si="9"/>
        <v>1</v>
      </c>
      <c r="Y31" s="46">
        <f t="shared" si="27"/>
        <v>0</v>
      </c>
      <c r="Z31" s="46">
        <f t="shared" si="10"/>
        <v>0</v>
      </c>
      <c r="AA31" s="46">
        <f t="shared" si="11"/>
        <v>0</v>
      </c>
      <c r="AB31" s="46">
        <f t="shared" si="12"/>
        <v>0</v>
      </c>
      <c r="AC31" s="46">
        <f t="shared" si="13"/>
        <v>2392</v>
      </c>
      <c r="AD31" s="151">
        <f t="shared" si="14"/>
        <v>17550</v>
      </c>
      <c r="AE31" s="152">
        <f t="shared" si="15"/>
        <v>8775</v>
      </c>
      <c r="AF31" s="152">
        <f>ROUND((AD31+AE31)*34.4%,0)</f>
        <v>9056</v>
      </c>
      <c r="AG31" s="152">
        <f>IF(X31=1,IF($E$7="No",ROUND((AD31+AE31)*IF('Manual Data'!F30=1%,$M$5,'Manual Data'!F30),0),0),0)</f>
        <v>3949</v>
      </c>
      <c r="AH31" s="152">
        <f>IF(X31=1,IF(AD32=0,0,IF($F$7="Yes",IF('Manual Data'!G30=1,IF(OR($E$6="A",$E$6="A-1"),IF(OR($F$6="E1A",$F$6="E2A"),800,1400),IF(NOT(OR($F$6="E1A",$F$6="E2A")),800,500)),'Manual Data'!G30),0)),0)</f>
        <v>1400</v>
      </c>
      <c r="AI31" s="152">
        <f t="shared" si="16"/>
        <v>351</v>
      </c>
      <c r="AJ31" s="152">
        <f t="shared" si="17"/>
        <v>351</v>
      </c>
      <c r="AK31" s="152">
        <f t="shared" si="18"/>
        <v>240</v>
      </c>
      <c r="AL31" s="153">
        <f t="shared" si="28"/>
        <v>41672</v>
      </c>
      <c r="AM31" s="45"/>
      <c r="AN31" s="45"/>
      <c r="AO31" s="45"/>
      <c r="AP31" s="45"/>
      <c r="AQ31" s="45"/>
      <c r="AR31" s="45"/>
      <c r="AS31" s="45"/>
      <c r="AT31" s="45"/>
      <c r="AU31" s="45"/>
      <c r="AV31" s="45"/>
      <c r="AW31" s="45">
        <v>20</v>
      </c>
      <c r="AX31" s="45">
        <f t="shared" si="29"/>
        <v>45090</v>
      </c>
      <c r="AY31" s="45"/>
      <c r="AZ31" s="46">
        <v>36</v>
      </c>
      <c r="BA31" s="46">
        <v>9.136</v>
      </c>
    </row>
    <row r="32" spans="1:53" s="3" customFormat="1" ht="12" customHeight="1">
      <c r="A32" s="9" t="s">
        <v>20</v>
      </c>
      <c r="B32" s="53" t="s">
        <v>23</v>
      </c>
      <c r="C32" s="14">
        <f t="shared" si="0"/>
        <v>39240</v>
      </c>
      <c r="D32" s="15">
        <f t="shared" si="19"/>
        <v>3610</v>
      </c>
      <c r="E32" s="15">
        <f t="shared" si="1"/>
        <v>3949</v>
      </c>
      <c r="F32" s="15">
        <f t="shared" si="2"/>
        <v>1400</v>
      </c>
      <c r="G32" s="15">
        <f t="shared" si="3"/>
        <v>351</v>
      </c>
      <c r="H32" s="15">
        <f t="shared" si="4"/>
        <v>351</v>
      </c>
      <c r="I32" s="15">
        <f t="shared" si="5"/>
        <v>240</v>
      </c>
      <c r="J32" s="14">
        <f t="shared" si="6"/>
        <v>49141</v>
      </c>
      <c r="K32" s="14">
        <f t="shared" si="7"/>
        <v>41430</v>
      </c>
      <c r="L32" s="15">
        <f t="shared" si="20"/>
        <v>3812</v>
      </c>
      <c r="M32" s="15">
        <f t="shared" si="21"/>
        <v>3949</v>
      </c>
      <c r="N32" s="15">
        <f t="shared" si="22"/>
        <v>1400</v>
      </c>
      <c r="O32" s="15">
        <f t="shared" si="23"/>
        <v>351</v>
      </c>
      <c r="P32" s="15">
        <f t="shared" si="24"/>
        <v>351</v>
      </c>
      <c r="Q32" s="15">
        <f t="shared" si="25"/>
        <v>240</v>
      </c>
      <c r="R32" s="14">
        <f t="shared" si="26"/>
        <v>51533</v>
      </c>
      <c r="S32" s="14">
        <f t="shared" si="8"/>
        <v>2392</v>
      </c>
      <c r="T32" s="47">
        <v>9.2</v>
      </c>
      <c r="U32" s="70">
        <f>MIN(ROUNDUP(IF('Manual Data'!E31=1,IF(A32='Manual Data'!N31,ROUND(U31*103%-0.01,0),U31),'Manual Data'!E31),-1),NBPH1)</f>
        <v>39240</v>
      </c>
      <c r="V32" s="70">
        <f>MIN(ROUNDUP(IF('Manual Data'!H31=1,IF(A32='Manual Data'!N31,ROUND(V31*103%-0.01,0),V31),'Manual Data'!H31),-1),HPS)</f>
        <v>41430</v>
      </c>
      <c r="W32" s="70">
        <f>MIN(IF('Manual Data'!D31=1,IF(A32='Manual Data'!N31,W31+'Manual Data'!O31,W31),'Manual Data'!D31),OBPH1)</f>
        <v>17550</v>
      </c>
      <c r="X32" s="46">
        <f t="shared" si="9"/>
        <v>1</v>
      </c>
      <c r="Y32" s="46">
        <f t="shared" si="27"/>
        <v>0</v>
      </c>
      <c r="Z32" s="46">
        <f t="shared" si="10"/>
        <v>0</v>
      </c>
      <c r="AA32" s="46">
        <f t="shared" si="11"/>
        <v>0</v>
      </c>
      <c r="AB32" s="46">
        <f t="shared" si="12"/>
        <v>0</v>
      </c>
      <c r="AC32" s="46">
        <f t="shared" si="13"/>
        <v>2392</v>
      </c>
      <c r="AD32" s="151">
        <f t="shared" si="14"/>
        <v>17550</v>
      </c>
      <c r="AE32" s="152">
        <f t="shared" si="15"/>
        <v>8775</v>
      </c>
      <c r="AF32" s="152">
        <f>ROUND((AD32+AE32)*34.4%,0)</f>
        <v>9056</v>
      </c>
      <c r="AG32" s="152">
        <f>IF(X32=1,IF($E$7="No",ROUND((AD32+AE32)*IF('Manual Data'!F31=1%,$M$5,'Manual Data'!F31),0),0),0)</f>
        <v>3949</v>
      </c>
      <c r="AH32" s="152">
        <f>IF(X32=1,IF(AD33=0,0,IF($F$7="Yes",IF('Manual Data'!G31=1,IF(OR($E$6="A",$E$6="A-1"),IF(OR($F$6="E1A",$F$6="E2A"),800,1400),IF(NOT(OR($F$6="E1A",$F$6="E2A")),800,500)),'Manual Data'!G31),0)),0)</f>
        <v>1400</v>
      </c>
      <c r="AI32" s="152">
        <f t="shared" si="16"/>
        <v>351</v>
      </c>
      <c r="AJ32" s="152">
        <f t="shared" si="17"/>
        <v>351</v>
      </c>
      <c r="AK32" s="152">
        <f t="shared" si="18"/>
        <v>240</v>
      </c>
      <c r="AL32" s="153">
        <f t="shared" si="28"/>
        <v>41672</v>
      </c>
      <c r="AM32" s="45"/>
      <c r="AN32" s="45"/>
      <c r="AO32" s="45"/>
      <c r="AP32" s="45"/>
      <c r="AQ32" s="45"/>
      <c r="AR32" s="45"/>
      <c r="AS32" s="45"/>
      <c r="AT32" s="45"/>
      <c r="AU32" s="45"/>
      <c r="AV32" s="45"/>
      <c r="AW32" s="45">
        <v>21</v>
      </c>
      <c r="AX32" s="45">
        <f t="shared" si="29"/>
        <v>46450</v>
      </c>
      <c r="AY32" s="45"/>
      <c r="AZ32" s="46">
        <v>37</v>
      </c>
      <c r="BA32" s="46">
        <v>9.126</v>
      </c>
    </row>
    <row r="33" spans="1:53" s="3" customFormat="1" ht="12" customHeight="1">
      <c r="A33" s="9" t="s">
        <v>0</v>
      </c>
      <c r="B33" s="53" t="s">
        <v>23</v>
      </c>
      <c r="C33" s="14">
        <f t="shared" si="0"/>
        <v>39240</v>
      </c>
      <c r="D33" s="15">
        <f t="shared" si="19"/>
        <v>5062</v>
      </c>
      <c r="E33" s="15">
        <f t="shared" si="1"/>
        <v>3949</v>
      </c>
      <c r="F33" s="15">
        <f t="shared" si="2"/>
        <v>1400</v>
      </c>
      <c r="G33" s="15">
        <f t="shared" si="3"/>
        <v>351</v>
      </c>
      <c r="H33" s="15">
        <f t="shared" si="4"/>
        <v>351</v>
      </c>
      <c r="I33" s="15">
        <f t="shared" si="5"/>
        <v>240</v>
      </c>
      <c r="J33" s="14">
        <f t="shared" si="6"/>
        <v>50593</v>
      </c>
      <c r="K33" s="14">
        <f t="shared" si="7"/>
        <v>41430</v>
      </c>
      <c r="L33" s="15">
        <f t="shared" si="20"/>
        <v>5344</v>
      </c>
      <c r="M33" s="15">
        <f t="shared" si="21"/>
        <v>3949</v>
      </c>
      <c r="N33" s="15">
        <f t="shared" si="22"/>
        <v>1400</v>
      </c>
      <c r="O33" s="15">
        <f t="shared" si="23"/>
        <v>351</v>
      </c>
      <c r="P33" s="15">
        <f t="shared" si="24"/>
        <v>351</v>
      </c>
      <c r="Q33" s="15">
        <f t="shared" si="25"/>
        <v>240</v>
      </c>
      <c r="R33" s="14">
        <f t="shared" si="26"/>
        <v>53065</v>
      </c>
      <c r="S33" s="14">
        <f t="shared" si="8"/>
        <v>2472</v>
      </c>
      <c r="T33" s="47">
        <v>12.9</v>
      </c>
      <c r="U33" s="70">
        <f>MIN(ROUNDUP(IF('Manual Data'!E32=1,IF(A33='Manual Data'!N32,ROUND(U32*103%-0.01,0),U32),'Manual Data'!E32),-1),NBPH1)</f>
        <v>39240</v>
      </c>
      <c r="V33" s="70">
        <f>MIN(ROUNDUP(IF('Manual Data'!H32=1,IF(A33='Manual Data'!N32,ROUND(V32*103%-0.01,0),V32),'Manual Data'!H32),-1),HPS)</f>
        <v>41430</v>
      </c>
      <c r="W33" s="70">
        <f>MIN(IF('Manual Data'!D32=1,IF(A33='Manual Data'!N32,W32+'Manual Data'!O32,W32),'Manual Data'!D32),OBPH1)</f>
        <v>17550</v>
      </c>
      <c r="X33" s="46">
        <f t="shared" si="9"/>
        <v>1</v>
      </c>
      <c r="Y33" s="46">
        <f t="shared" si="27"/>
        <v>0</v>
      </c>
      <c r="Z33" s="46">
        <f t="shared" si="10"/>
        <v>0</v>
      </c>
      <c r="AA33" s="46">
        <f t="shared" si="11"/>
        <v>0</v>
      </c>
      <c r="AB33" s="46">
        <f t="shared" si="12"/>
        <v>0</v>
      </c>
      <c r="AC33" s="46">
        <f t="shared" si="13"/>
        <v>2472</v>
      </c>
      <c r="AD33" s="151">
        <f t="shared" si="14"/>
        <v>17550</v>
      </c>
      <c r="AE33" s="152">
        <f t="shared" si="15"/>
        <v>8775</v>
      </c>
      <c r="AF33" s="152">
        <f>ROUND((AD33+AE33)*40.6%,0)</f>
        <v>10688</v>
      </c>
      <c r="AG33" s="152">
        <f>IF(X33=1,IF($E$7="No",ROUND((AD33+AE33)*IF('Manual Data'!F32=1%,$M$5,'Manual Data'!F32),0),0),0)</f>
        <v>3949</v>
      </c>
      <c r="AH33" s="152">
        <f>IF(X33=1,IF(AD34=0,0,IF($F$7="Yes",IF('Manual Data'!G32=1,IF(OR($E$6="A",$E$6="A-1"),IF(OR($F$6="E1A",$F$6="E2A"),800,1400),IF(NOT(OR($F$6="E1A",$F$6="E2A")),800,500)),'Manual Data'!G32),0)),0)</f>
        <v>1400</v>
      </c>
      <c r="AI33" s="152">
        <f t="shared" si="16"/>
        <v>351</v>
      </c>
      <c r="AJ33" s="152">
        <f t="shared" si="17"/>
        <v>351</v>
      </c>
      <c r="AK33" s="152">
        <f t="shared" si="18"/>
        <v>240</v>
      </c>
      <c r="AL33" s="153">
        <f t="shared" si="28"/>
        <v>43304</v>
      </c>
      <c r="AM33" s="45"/>
      <c r="AN33" s="45"/>
      <c r="AO33" s="45"/>
      <c r="AP33" s="45"/>
      <c r="AQ33" s="45"/>
      <c r="AR33" s="45"/>
      <c r="AS33" s="45"/>
      <c r="AT33" s="45"/>
      <c r="AU33" s="45"/>
      <c r="AV33" s="45"/>
      <c r="AW33" s="45">
        <v>22</v>
      </c>
      <c r="AX33" s="45">
        <f t="shared" si="29"/>
        <v>47850</v>
      </c>
      <c r="AY33" s="45"/>
      <c r="AZ33" s="46">
        <v>38</v>
      </c>
      <c r="BA33" s="46">
        <v>9.116</v>
      </c>
    </row>
    <row r="34" spans="1:53" s="3" customFormat="1" ht="12" customHeight="1">
      <c r="A34" s="9" t="s">
        <v>10</v>
      </c>
      <c r="B34" s="53" t="s">
        <v>23</v>
      </c>
      <c r="C34" s="14">
        <f t="shared" si="0"/>
        <v>39240</v>
      </c>
      <c r="D34" s="15">
        <f t="shared" si="19"/>
        <v>5062</v>
      </c>
      <c r="E34" s="15">
        <f t="shared" si="1"/>
        <v>3949</v>
      </c>
      <c r="F34" s="15">
        <f t="shared" si="2"/>
        <v>1400</v>
      </c>
      <c r="G34" s="15">
        <f t="shared" si="3"/>
        <v>351</v>
      </c>
      <c r="H34" s="15">
        <f t="shared" si="4"/>
        <v>351</v>
      </c>
      <c r="I34" s="15">
        <f t="shared" si="5"/>
        <v>240</v>
      </c>
      <c r="J34" s="14">
        <f t="shared" si="6"/>
        <v>50593</v>
      </c>
      <c r="K34" s="14">
        <f t="shared" si="7"/>
        <v>41430</v>
      </c>
      <c r="L34" s="15">
        <f t="shared" si="20"/>
        <v>5344</v>
      </c>
      <c r="M34" s="15">
        <f t="shared" si="21"/>
        <v>3949</v>
      </c>
      <c r="N34" s="15">
        <f t="shared" si="22"/>
        <v>1400</v>
      </c>
      <c r="O34" s="15">
        <f t="shared" si="23"/>
        <v>351</v>
      </c>
      <c r="P34" s="15">
        <f t="shared" si="24"/>
        <v>351</v>
      </c>
      <c r="Q34" s="15">
        <f t="shared" si="25"/>
        <v>240</v>
      </c>
      <c r="R34" s="14">
        <f t="shared" si="26"/>
        <v>53065</v>
      </c>
      <c r="S34" s="14">
        <f t="shared" si="8"/>
        <v>2472</v>
      </c>
      <c r="T34" s="47">
        <v>12.9</v>
      </c>
      <c r="U34" s="70">
        <f>MIN(ROUNDUP(IF('Manual Data'!E33=1,IF(A34='Manual Data'!N33,ROUND(U33*103%-0.01,0),U33),'Manual Data'!E33),-1),NBPH1)</f>
        <v>39240</v>
      </c>
      <c r="V34" s="70">
        <f>MIN(ROUNDUP(IF('Manual Data'!H33=1,IF(A34='Manual Data'!N33,ROUND(V33*103%-0.01,0),V33),'Manual Data'!H33),-1),HPS)</f>
        <v>41430</v>
      </c>
      <c r="W34" s="70">
        <f>MIN(IF('Manual Data'!D33=1,IF(A34='Manual Data'!N33,W33+'Manual Data'!O33,W33),'Manual Data'!D33),OBPH1)</f>
        <v>17550</v>
      </c>
      <c r="X34" s="46">
        <f t="shared" si="9"/>
        <v>1</v>
      </c>
      <c r="Y34" s="46">
        <f t="shared" si="27"/>
        <v>0</v>
      </c>
      <c r="Z34" s="46">
        <f t="shared" si="10"/>
        <v>0</v>
      </c>
      <c r="AA34" s="46">
        <f t="shared" si="11"/>
        <v>0</v>
      </c>
      <c r="AB34" s="46">
        <f t="shared" si="12"/>
        <v>0</v>
      </c>
      <c r="AC34" s="46">
        <f t="shared" si="13"/>
        <v>2472</v>
      </c>
      <c r="AD34" s="151">
        <f t="shared" si="14"/>
        <v>17550</v>
      </c>
      <c r="AE34" s="152">
        <f t="shared" si="15"/>
        <v>8775</v>
      </c>
      <c r="AF34" s="152">
        <f>ROUND((AD34+AE34)*40.6%,0)</f>
        <v>10688</v>
      </c>
      <c r="AG34" s="152">
        <f>IF(X34=1,IF($E$7="No",ROUND((AD34+AE34)*IF('Manual Data'!F33=1%,$M$5,'Manual Data'!F33),0),0),0)</f>
        <v>3949</v>
      </c>
      <c r="AH34" s="152">
        <f>IF(X34=1,IF(AD35=0,0,IF($F$7="Yes",IF('Manual Data'!G33=1,IF(OR($E$6="A",$E$6="A-1"),IF(OR($F$6="E1A",$F$6="E2A"),800,1400),IF(NOT(OR($F$6="E1A",$F$6="E2A")),800,500)),'Manual Data'!G33),0)),0)</f>
        <v>1400</v>
      </c>
      <c r="AI34" s="152">
        <f t="shared" si="16"/>
        <v>351</v>
      </c>
      <c r="AJ34" s="152">
        <f t="shared" si="17"/>
        <v>351</v>
      </c>
      <c r="AK34" s="152">
        <f t="shared" si="18"/>
        <v>240</v>
      </c>
      <c r="AL34" s="153">
        <f t="shared" si="28"/>
        <v>43304</v>
      </c>
      <c r="AM34" s="45"/>
      <c r="AN34" s="45"/>
      <c r="AO34" s="45"/>
      <c r="AP34" s="45"/>
      <c r="AQ34" s="45"/>
      <c r="AR34" s="45"/>
      <c r="AS34" s="45"/>
      <c r="AT34" s="45"/>
      <c r="AU34" s="45"/>
      <c r="AV34" s="45"/>
      <c r="AW34" s="45">
        <v>23</v>
      </c>
      <c r="AX34" s="45">
        <f t="shared" si="29"/>
        <v>49290</v>
      </c>
      <c r="AY34" s="45"/>
      <c r="AZ34" s="46">
        <v>39</v>
      </c>
      <c r="BA34" s="46">
        <v>9.103</v>
      </c>
    </row>
    <row r="35" spans="1:53" s="3" customFormat="1" ht="12" customHeight="1">
      <c r="A35" s="9" t="s">
        <v>11</v>
      </c>
      <c r="B35" s="53" t="s">
        <v>23</v>
      </c>
      <c r="C35" s="14">
        <f t="shared" si="0"/>
        <v>39240</v>
      </c>
      <c r="D35" s="15">
        <f t="shared" si="19"/>
        <v>5062</v>
      </c>
      <c r="E35" s="15">
        <f>IF(X35=1,IF($E$7="No",ROUND(IF('Manual Data'!I34=1%,U35*$N$5,C35*'Manual Data'!I34),0),0),0)</f>
        <v>7848</v>
      </c>
      <c r="F35" s="15">
        <f t="shared" si="2"/>
        <v>1400</v>
      </c>
      <c r="G35" s="15">
        <f t="shared" si="3"/>
        <v>351</v>
      </c>
      <c r="H35" s="15">
        <f t="shared" si="4"/>
        <v>351</v>
      </c>
      <c r="I35" s="15">
        <f t="shared" si="5"/>
        <v>240</v>
      </c>
      <c r="J35" s="14">
        <f t="shared" si="6"/>
        <v>54492</v>
      </c>
      <c r="K35" s="14">
        <f t="shared" si="7"/>
        <v>41430</v>
      </c>
      <c r="L35" s="15">
        <f t="shared" si="20"/>
        <v>5344</v>
      </c>
      <c r="M35" s="15">
        <f t="shared" si="21"/>
        <v>7848</v>
      </c>
      <c r="N35" s="15">
        <f t="shared" si="22"/>
        <v>1400</v>
      </c>
      <c r="O35" s="15">
        <f t="shared" si="23"/>
        <v>351</v>
      </c>
      <c r="P35" s="15">
        <f t="shared" si="24"/>
        <v>351</v>
      </c>
      <c r="Q35" s="15">
        <f t="shared" si="25"/>
        <v>240</v>
      </c>
      <c r="R35" s="14">
        <f t="shared" si="26"/>
        <v>56964</v>
      </c>
      <c r="S35" s="14">
        <f t="shared" si="8"/>
        <v>2472</v>
      </c>
      <c r="T35" s="47">
        <v>12.9</v>
      </c>
      <c r="U35" s="70">
        <f>MIN(ROUNDUP(IF('Manual Data'!E34=1,IF(A35='Manual Data'!N34,ROUND(U34*103%-0.01,0),U34),'Manual Data'!E34),-1),NBPH1)</f>
        <v>39240</v>
      </c>
      <c r="V35" s="70">
        <f>MIN(ROUNDUP(IF('Manual Data'!H34=1,IF(A35='Manual Data'!N34,ROUND(V34*103%-0.01,0),V34),'Manual Data'!H34),-1),HPS)</f>
        <v>41430</v>
      </c>
      <c r="W35" s="70">
        <f>MIN(IF('Manual Data'!D34=1,IF(A35='Manual Data'!N34,W34+'Manual Data'!O34,W34),'Manual Data'!D34),OBPH1)</f>
        <v>17550</v>
      </c>
      <c r="X35" s="46">
        <f t="shared" si="9"/>
        <v>1</v>
      </c>
      <c r="Y35" s="46">
        <f t="shared" si="27"/>
        <v>0</v>
      </c>
      <c r="Z35" s="46">
        <f t="shared" si="10"/>
        <v>0</v>
      </c>
      <c r="AA35" s="46">
        <f t="shared" si="11"/>
        <v>0</v>
      </c>
      <c r="AB35" s="46">
        <f t="shared" si="12"/>
        <v>0</v>
      </c>
      <c r="AC35" s="46">
        <f t="shared" si="13"/>
        <v>2472</v>
      </c>
      <c r="AD35" s="151">
        <f t="shared" si="14"/>
        <v>17550</v>
      </c>
      <c r="AE35" s="152">
        <f t="shared" si="15"/>
        <v>8775</v>
      </c>
      <c r="AF35" s="152">
        <f>ROUND((AD35+AE35)*40.6%,0)</f>
        <v>10688</v>
      </c>
      <c r="AG35" s="152">
        <f>IF(X35=1,IF($E$7="No",ROUND((AD35+AE35)*IF('Manual Data'!F34=1%,$M$5,'Manual Data'!F34),0),0),0)</f>
        <v>3949</v>
      </c>
      <c r="AH35" s="152">
        <f>IF(X35=1,IF(AD36=0,0,IF($F$7="Yes",IF('Manual Data'!G34=1,IF(OR($E$6="A",$E$6="A-1"),IF(OR($F$6="E1A",$F$6="E2A"),800,1400),IF(NOT(OR($F$6="E1A",$F$6="E2A")),800,500)),'Manual Data'!G34),0)),0)</f>
        <v>1400</v>
      </c>
      <c r="AI35" s="152">
        <f t="shared" si="16"/>
        <v>351</v>
      </c>
      <c r="AJ35" s="152">
        <f t="shared" si="17"/>
        <v>351</v>
      </c>
      <c r="AK35" s="152">
        <f t="shared" si="18"/>
        <v>240</v>
      </c>
      <c r="AL35" s="153">
        <f t="shared" si="28"/>
        <v>43304</v>
      </c>
      <c r="AM35" s="45"/>
      <c r="AN35" s="45"/>
      <c r="AO35" s="45"/>
      <c r="AP35" s="45"/>
      <c r="AQ35" s="45"/>
      <c r="AR35" s="45"/>
      <c r="AS35" s="45"/>
      <c r="AT35" s="45"/>
      <c r="AU35" s="45"/>
      <c r="AV35" s="45"/>
      <c r="AW35" s="45">
        <v>24</v>
      </c>
      <c r="AX35" s="45">
        <f t="shared" si="29"/>
        <v>50770</v>
      </c>
      <c r="AY35" s="45"/>
      <c r="AZ35" s="46">
        <v>40</v>
      </c>
      <c r="BA35" s="46">
        <v>9.09</v>
      </c>
    </row>
    <row r="36" spans="1:53" s="3" customFormat="1" ht="12" customHeight="1">
      <c r="A36" s="9" t="s">
        <v>12</v>
      </c>
      <c r="B36" s="53" t="s">
        <v>24</v>
      </c>
      <c r="C36" s="14">
        <f t="shared" si="0"/>
        <v>39240</v>
      </c>
      <c r="D36" s="15">
        <f t="shared" si="19"/>
        <v>6514</v>
      </c>
      <c r="E36" s="15">
        <f>IF(X36=1,IF($E$7="No",ROUND(IF('Manual Data'!I35=1%,U36*$N$5,C36*'Manual Data'!I35),0),0),0)</f>
        <v>7848</v>
      </c>
      <c r="F36" s="15">
        <f t="shared" si="2"/>
        <v>1400</v>
      </c>
      <c r="G36" s="15">
        <f t="shared" si="3"/>
        <v>351</v>
      </c>
      <c r="H36" s="15">
        <f t="shared" si="4"/>
        <v>351</v>
      </c>
      <c r="I36" s="15">
        <f t="shared" si="5"/>
        <v>240</v>
      </c>
      <c r="J36" s="14">
        <f t="shared" si="6"/>
        <v>55944</v>
      </c>
      <c r="K36" s="14">
        <f t="shared" si="7"/>
        <v>41430</v>
      </c>
      <c r="L36" s="15">
        <f t="shared" si="20"/>
        <v>6877</v>
      </c>
      <c r="M36" s="15">
        <f t="shared" si="21"/>
        <v>7848</v>
      </c>
      <c r="N36" s="15">
        <f t="shared" si="22"/>
        <v>1400</v>
      </c>
      <c r="O36" s="15">
        <f t="shared" si="23"/>
        <v>351</v>
      </c>
      <c r="P36" s="15">
        <f t="shared" si="24"/>
        <v>351</v>
      </c>
      <c r="Q36" s="15">
        <f t="shared" si="25"/>
        <v>240</v>
      </c>
      <c r="R36" s="14">
        <f t="shared" si="26"/>
        <v>58497</v>
      </c>
      <c r="S36" s="14">
        <f t="shared" si="8"/>
        <v>2553</v>
      </c>
      <c r="T36" s="47">
        <v>16.6</v>
      </c>
      <c r="U36" s="70">
        <f>MIN(ROUNDUP(IF('Manual Data'!E35=1,IF(A36='Manual Data'!N35,ROUND(U35*103%-0.01,0),U35),'Manual Data'!E35),-1),NBPH1)</f>
        <v>39240</v>
      </c>
      <c r="V36" s="70">
        <f>MIN(ROUNDUP(IF('Manual Data'!H35=1,IF(A36='Manual Data'!N35,ROUND(V35*103%-0.01,0),V35),'Manual Data'!H35),-1),HPS)</f>
        <v>41430</v>
      </c>
      <c r="W36" s="70">
        <f>MIN(IF('Manual Data'!D35=1,IF(A36='Manual Data'!N35,W35+'Manual Data'!O35,W35),'Manual Data'!D35),OBPH1)</f>
        <v>17550</v>
      </c>
      <c r="X36" s="46">
        <f t="shared" si="9"/>
        <v>1</v>
      </c>
      <c r="Y36" s="46">
        <f t="shared" si="27"/>
        <v>0</v>
      </c>
      <c r="Z36" s="46">
        <f t="shared" si="10"/>
        <v>0</v>
      </c>
      <c r="AA36" s="46">
        <f t="shared" si="11"/>
        <v>0</v>
      </c>
      <c r="AB36" s="46">
        <f t="shared" si="12"/>
        <v>0</v>
      </c>
      <c r="AC36" s="46">
        <f t="shared" si="13"/>
        <v>2553</v>
      </c>
      <c r="AD36" s="151">
        <f t="shared" si="14"/>
        <v>17550</v>
      </c>
      <c r="AE36" s="152">
        <f t="shared" si="15"/>
        <v>8775</v>
      </c>
      <c r="AF36" s="152">
        <f>ROUND((AD36+AE36)*40.6%,0)</f>
        <v>10688</v>
      </c>
      <c r="AG36" s="152">
        <f>IF(X36=1,IF($E$7="No",ROUND((AD36+AE36)*IF('Manual Data'!F35=1%,$M$5,'Manual Data'!F35),0),0),0)</f>
        <v>3949</v>
      </c>
      <c r="AH36" s="152">
        <f>IF(X36=1,IF(AD37=0,0,IF($F$7="Yes",IF('Manual Data'!G35=1,IF(OR($E$6="A",$E$6="A-1"),IF(OR($F$6="E1A",$F$6="E2A"),800,1400),IF(NOT(OR($F$6="E1A",$F$6="E2A")),800,500)),'Manual Data'!G35),0)),0)</f>
        <v>1400</v>
      </c>
      <c r="AI36" s="152">
        <f t="shared" si="16"/>
        <v>351</v>
      </c>
      <c r="AJ36" s="152">
        <f t="shared" si="17"/>
        <v>351</v>
      </c>
      <c r="AK36" s="152">
        <f t="shared" si="18"/>
        <v>240</v>
      </c>
      <c r="AL36" s="153">
        <f t="shared" si="28"/>
        <v>43304</v>
      </c>
      <c r="AM36" s="45"/>
      <c r="AN36" s="45"/>
      <c r="AO36" s="45"/>
      <c r="AP36" s="45"/>
      <c r="AQ36" s="45"/>
      <c r="AR36" s="45"/>
      <c r="AS36" s="45"/>
      <c r="AT36" s="45"/>
      <c r="AU36" s="45"/>
      <c r="AV36" s="45"/>
      <c r="AW36" s="45">
        <v>25</v>
      </c>
      <c r="AX36" s="45">
        <f t="shared" si="29"/>
        <v>52300</v>
      </c>
      <c r="AY36" s="45"/>
      <c r="AZ36" s="46">
        <v>41</v>
      </c>
      <c r="BA36" s="46">
        <v>9.075</v>
      </c>
    </row>
    <row r="37" spans="1:53" s="3" customFormat="1" ht="12" customHeight="1">
      <c r="A37" s="9" t="s">
        <v>13</v>
      </c>
      <c r="B37" s="53" t="s">
        <v>24</v>
      </c>
      <c r="C37" s="14">
        <f t="shared" si="0"/>
        <v>39240</v>
      </c>
      <c r="D37" s="15">
        <f t="shared" si="19"/>
        <v>6514</v>
      </c>
      <c r="E37" s="15">
        <f>IF(X37=1,IF($E$7="No",ROUND(IF('Manual Data'!I36=1%,U37*$N$5,C37*'Manual Data'!I36),0),0),0)</f>
        <v>7848</v>
      </c>
      <c r="F37" s="15">
        <f t="shared" si="2"/>
        <v>1400</v>
      </c>
      <c r="G37" s="15">
        <f t="shared" si="3"/>
        <v>351</v>
      </c>
      <c r="H37" s="15">
        <f t="shared" si="4"/>
        <v>351</v>
      </c>
      <c r="I37" s="15">
        <f t="shared" si="5"/>
        <v>240</v>
      </c>
      <c r="J37" s="14">
        <f t="shared" si="6"/>
        <v>55944</v>
      </c>
      <c r="K37" s="14">
        <f t="shared" si="7"/>
        <v>41430</v>
      </c>
      <c r="L37" s="15">
        <f t="shared" si="20"/>
        <v>6877</v>
      </c>
      <c r="M37" s="15">
        <f t="shared" si="21"/>
        <v>7848</v>
      </c>
      <c r="N37" s="15">
        <f t="shared" si="22"/>
        <v>1400</v>
      </c>
      <c r="O37" s="15">
        <f t="shared" si="23"/>
        <v>351</v>
      </c>
      <c r="P37" s="15">
        <f t="shared" si="24"/>
        <v>351</v>
      </c>
      <c r="Q37" s="15">
        <f t="shared" si="25"/>
        <v>240</v>
      </c>
      <c r="R37" s="14">
        <f t="shared" si="26"/>
        <v>58497</v>
      </c>
      <c r="S37" s="14">
        <f t="shared" si="8"/>
        <v>2553</v>
      </c>
      <c r="T37" s="47">
        <v>16.6</v>
      </c>
      <c r="U37" s="70">
        <f>MIN(ROUNDUP(IF('Manual Data'!E36=1,IF(A37='Manual Data'!N36,ROUND(U36*103%-0.01,0),U36),'Manual Data'!E36),-1),NBPH1)</f>
        <v>39240</v>
      </c>
      <c r="V37" s="70">
        <f>MIN(ROUNDUP(IF('Manual Data'!H36=1,IF(A37='Manual Data'!N36,ROUND(V36*103%-0.01,0),V36),'Manual Data'!H36),-1),HPS)</f>
        <v>41430</v>
      </c>
      <c r="W37" s="70">
        <f>MIN(IF('Manual Data'!D36=1,IF(A37='Manual Data'!N36,W36+'Manual Data'!O36,W36),'Manual Data'!D36),OBPH1)</f>
        <v>17550</v>
      </c>
      <c r="X37" s="46">
        <f t="shared" si="9"/>
        <v>1</v>
      </c>
      <c r="Y37" s="46">
        <f t="shared" si="27"/>
        <v>0</v>
      </c>
      <c r="Z37" s="46">
        <f t="shared" si="10"/>
        <v>0</v>
      </c>
      <c r="AA37" s="46">
        <f t="shared" si="11"/>
        <v>0</v>
      </c>
      <c r="AB37" s="46">
        <f t="shared" si="12"/>
        <v>0</v>
      </c>
      <c r="AC37" s="46">
        <f t="shared" si="13"/>
        <v>2553</v>
      </c>
      <c r="AD37" s="151">
        <f t="shared" si="14"/>
        <v>17550</v>
      </c>
      <c r="AE37" s="152">
        <f t="shared" si="15"/>
        <v>8775</v>
      </c>
      <c r="AF37" s="152">
        <f>ROUND((AD37+AE37)*40.6%,0)</f>
        <v>10688</v>
      </c>
      <c r="AG37" s="152">
        <f>IF(X37=1,IF($E$7="No",ROUND((AD37+AE37)*IF('Manual Data'!F36=1%,$M$5,'Manual Data'!F36),0),0),0)</f>
        <v>3949</v>
      </c>
      <c r="AH37" s="152">
        <f>IF(X37=1,IF($F$7="Yes",IF('Manual Data'!G36=1,IF(OR($E$6="A",$E$6="A-1"),IF(OR($F$6="E1A",$F$6="E2A"),800,1400),IF(NOT(OR($F$6="E1A",$F$6="E2A")),800,500)),'Manual Data'!G36),0),0)</f>
        <v>1400</v>
      </c>
      <c r="AI37" s="152">
        <f t="shared" si="16"/>
        <v>351</v>
      </c>
      <c r="AJ37" s="152">
        <f t="shared" si="17"/>
        <v>351</v>
      </c>
      <c r="AK37" s="152">
        <f t="shared" si="18"/>
        <v>240</v>
      </c>
      <c r="AL37" s="153">
        <f>SUM(AD37:AK37)</f>
        <v>43304</v>
      </c>
      <c r="AM37" s="45"/>
      <c r="AN37" s="45"/>
      <c r="AO37" s="45"/>
      <c r="AP37" s="45"/>
      <c r="AQ37" s="45"/>
      <c r="AR37" s="45"/>
      <c r="AS37" s="45"/>
      <c r="AT37" s="45"/>
      <c r="AU37" s="45"/>
      <c r="AV37" s="45"/>
      <c r="AW37" s="45">
        <v>26</v>
      </c>
      <c r="AX37" s="45">
        <f t="shared" si="29"/>
        <v>53870</v>
      </c>
      <c r="AY37" s="45"/>
      <c r="AZ37" s="46">
        <v>42</v>
      </c>
      <c r="BA37" s="46">
        <v>9.059</v>
      </c>
    </row>
    <row r="38" spans="1:53" s="3" customFormat="1" ht="12" customHeight="1">
      <c r="A38" s="9" t="s">
        <v>14</v>
      </c>
      <c r="B38" s="53" t="s">
        <v>24</v>
      </c>
      <c r="C38" s="14">
        <f t="shared" si="0"/>
        <v>41640</v>
      </c>
      <c r="D38" s="15">
        <f t="shared" si="19"/>
        <v>6912</v>
      </c>
      <c r="E38" s="15">
        <f>IF(X38=1,IF($E$7="No",ROUND(IF('Manual Data'!I37=1%,C38*$N$5,C38*'Manual Data'!I37),0),0),0)</f>
        <v>8328</v>
      </c>
      <c r="F38" s="15">
        <f>IF(X38=1,IF(C38=0,0,IF($F$7="Yes",IF('Manual Data'!G37=1,IF(OR($E$6="A",$E$6="A-1"),IF(OR($F$6="E1A",$F$6="E2A"),800,1400),IF(NOT(OR($F$6="E1A",$F$6="E2A")),800,500)),'Manual Data'!G37),0)),0)</f>
        <v>1400</v>
      </c>
      <c r="G38" s="15">
        <f aca="true" t="shared" si="30" ref="G38:G43">IF(X38=1,ROUND(W38*2%,0),0)</f>
        <v>358</v>
      </c>
      <c r="H38" s="15">
        <f aca="true" t="shared" si="31" ref="H38:H43">IF(X38=1,ROUND(W38*2%,0),0)</f>
        <v>358</v>
      </c>
      <c r="I38" s="15">
        <f t="shared" si="5"/>
        <v>0</v>
      </c>
      <c r="J38" s="16">
        <f t="shared" si="6"/>
        <v>58996</v>
      </c>
      <c r="K38" s="14">
        <f t="shared" si="7"/>
        <v>43960</v>
      </c>
      <c r="L38" s="15">
        <f t="shared" si="20"/>
        <v>7297</v>
      </c>
      <c r="M38" s="15">
        <f>IF(X38=1,IF($E$7="No",ROUND(IF('Manual Data'!I37=1%,C38*$N$5,C38*'Manual Data'!I37),0),0),0)</f>
        <v>8328</v>
      </c>
      <c r="N38" s="15">
        <f aca="true" t="shared" si="32" ref="N38:N69">IF(X38=1,F38,0)</f>
        <v>1400</v>
      </c>
      <c r="O38" s="15">
        <f aca="true" t="shared" si="33" ref="O38:O69">IF(X38=1,G38,0)</f>
        <v>358</v>
      </c>
      <c r="P38" s="15">
        <f aca="true" t="shared" si="34" ref="P38:P69">IF(X38=1,H38,0)</f>
        <v>358</v>
      </c>
      <c r="Q38" s="15">
        <f aca="true" t="shared" si="35" ref="Q38:Q69">IF(X38=1,I38,0)</f>
        <v>0</v>
      </c>
      <c r="R38" s="14">
        <f aca="true" t="shared" si="36" ref="R38:R80">SUM(K38:Q38)</f>
        <v>61701</v>
      </c>
      <c r="S38" s="14">
        <f aca="true" t="shared" si="37" ref="S38:S80">R38-J38</f>
        <v>2705</v>
      </c>
      <c r="T38" s="47">
        <v>16.6</v>
      </c>
      <c r="U38" s="70">
        <f>MIN(ROUNDUP(IF('Manual Data'!E37=1,IF(A38='Manual Data'!N37,ROUND(U37*103%-0.01,0),U37),'Manual Data'!E37),-1),NBPH1)</f>
        <v>41640</v>
      </c>
      <c r="V38" s="70">
        <f>MIN(ROUNDUP(IF('Manual Data'!H37=1,IF(A38='Manual Data'!N37,ROUND(V37*103%-0.01,0),V37),'Manual Data'!H37),-1),HPS)</f>
        <v>43960</v>
      </c>
      <c r="W38" s="70">
        <f>MIN(IF('Manual Data'!E36=1,IF(A38=$E$5,AD37+INC1,AD37),'Manual Data'!E36),OBPH1)</f>
        <v>17900</v>
      </c>
      <c r="X38" s="46">
        <f t="shared" si="9"/>
        <v>1</v>
      </c>
      <c r="Y38" s="46">
        <f>IF(X37=X38,0,1)</f>
        <v>0</v>
      </c>
      <c r="Z38" s="46">
        <f t="shared" si="10"/>
        <v>0</v>
      </c>
      <c r="AA38" s="46">
        <f t="shared" si="11"/>
        <v>0</v>
      </c>
      <c r="AB38" s="46">
        <f t="shared" si="12"/>
        <v>0</v>
      </c>
      <c r="AC38" s="46">
        <f t="shared" si="13"/>
        <v>2705</v>
      </c>
      <c r="AD38" s="45"/>
      <c r="AE38" s="45"/>
      <c r="AF38" s="45"/>
      <c r="AG38" s="45"/>
      <c r="AH38" s="45"/>
      <c r="AI38" s="45"/>
      <c r="AJ38" s="45"/>
      <c r="AK38" s="45"/>
      <c r="AL38" s="45"/>
      <c r="AM38" s="45"/>
      <c r="AN38" s="45" t="s">
        <v>31</v>
      </c>
      <c r="AO38" s="45" t="s">
        <v>35</v>
      </c>
      <c r="AP38" s="45" t="s">
        <v>55</v>
      </c>
      <c r="AQ38" s="45">
        <v>13000</v>
      </c>
      <c r="AR38" s="45">
        <v>18250</v>
      </c>
      <c r="AS38" s="45">
        <v>350</v>
      </c>
      <c r="AT38" s="45" t="s">
        <v>66</v>
      </c>
      <c r="AU38" s="45">
        <v>24900</v>
      </c>
      <c r="AV38" s="45">
        <v>50500</v>
      </c>
      <c r="AW38" s="45">
        <v>3</v>
      </c>
      <c r="AX38" s="45">
        <f>AX14</f>
        <v>27220</v>
      </c>
      <c r="AY38" s="45" t="s">
        <v>77</v>
      </c>
      <c r="AZ38" s="46">
        <v>43</v>
      </c>
      <c r="BA38" s="46">
        <v>9.04</v>
      </c>
    </row>
    <row r="39" spans="1:53" s="3" customFormat="1" ht="12" customHeight="1">
      <c r="A39" s="9" t="s">
        <v>15</v>
      </c>
      <c r="B39" s="53" t="s">
        <v>24</v>
      </c>
      <c r="C39" s="14">
        <f t="shared" si="0"/>
        <v>41640</v>
      </c>
      <c r="D39" s="15">
        <f t="shared" si="19"/>
        <v>6912</v>
      </c>
      <c r="E39" s="15">
        <f>IF(X39=1,IF($E$7="No",ROUND(IF('Manual Data'!I38=1%,C39*$N$5,C39*'Manual Data'!I38),0),0),0)</f>
        <v>8328</v>
      </c>
      <c r="F39" s="15">
        <f>IF(X39=1,IF(C39=0,0,IF($F$7="Yes",IF('Manual Data'!G38=1,IF(OR($E$6="A",$E$6="A-1"),IF(OR($F$6="E1A",$F$6="E2A"),800,1400),IF(NOT(OR($F$6="E1A",$F$6="E2A")),800,500)),'Manual Data'!G38),0)),0)</f>
        <v>1400</v>
      </c>
      <c r="G39" s="15">
        <f t="shared" si="30"/>
        <v>365</v>
      </c>
      <c r="H39" s="15">
        <f t="shared" si="31"/>
        <v>365</v>
      </c>
      <c r="I39" s="15"/>
      <c r="J39" s="16">
        <f t="shared" si="6"/>
        <v>59010</v>
      </c>
      <c r="K39" s="14">
        <f t="shared" si="7"/>
        <v>43960</v>
      </c>
      <c r="L39" s="15">
        <f t="shared" si="20"/>
        <v>7297</v>
      </c>
      <c r="M39" s="15">
        <f>IF(X39=1,IF($E$7="No",ROUND(IF('Manual Data'!I38=1%,C39*$N$5,C39*'Manual Data'!I38),0),0),0)</f>
        <v>8328</v>
      </c>
      <c r="N39" s="15">
        <f t="shared" si="32"/>
        <v>1400</v>
      </c>
      <c r="O39" s="15">
        <f t="shared" si="33"/>
        <v>365</v>
      </c>
      <c r="P39" s="15">
        <f t="shared" si="34"/>
        <v>365</v>
      </c>
      <c r="Q39" s="15">
        <f t="shared" si="35"/>
        <v>0</v>
      </c>
      <c r="R39" s="14">
        <f t="shared" si="36"/>
        <v>61715</v>
      </c>
      <c r="S39" s="14">
        <f t="shared" si="37"/>
        <v>2705</v>
      </c>
      <c r="T39" s="47">
        <v>16.6</v>
      </c>
      <c r="U39" s="70">
        <f>MIN(ROUNDUP(IF('Manual Data'!E38=1,IF(A39='Manual Data'!N38,ROUND(U38*103%-0.01,0),U38),'Manual Data'!E38),-1),NBPH1)</f>
        <v>41640</v>
      </c>
      <c r="V39" s="70">
        <f>MIN(ROUNDUP(IF('Manual Data'!H38=1,IF(A39='Manual Data'!N38,ROUND(V38*103%-0.01,0),V38),'Manual Data'!H38),-1),HPS)</f>
        <v>43960</v>
      </c>
      <c r="W39" s="70">
        <f>MIN(IF('Manual Data'!E37=1,IF(A39=$E$5,W38+INC1,W38),'Manual Data'!E37),OBPH1)</f>
        <v>18250</v>
      </c>
      <c r="X39" s="46">
        <f t="shared" si="9"/>
        <v>1</v>
      </c>
      <c r="Y39" s="46">
        <f t="shared" si="27"/>
        <v>0</v>
      </c>
      <c r="Z39" s="46">
        <f t="shared" si="10"/>
        <v>0</v>
      </c>
      <c r="AA39" s="46">
        <f t="shared" si="11"/>
        <v>0</v>
      </c>
      <c r="AB39" s="46">
        <f t="shared" si="12"/>
        <v>0</v>
      </c>
      <c r="AC39" s="46">
        <f t="shared" si="13"/>
        <v>2705</v>
      </c>
      <c r="AD39" s="45"/>
      <c r="AE39" s="45"/>
      <c r="AF39" s="45"/>
      <c r="AG39" s="45"/>
      <c r="AH39" s="45"/>
      <c r="AI39" s="45"/>
      <c r="AJ39" s="45"/>
      <c r="AK39" s="45"/>
      <c r="AL39" s="45"/>
      <c r="AM39" s="45"/>
      <c r="AN39" s="45" t="s">
        <v>46</v>
      </c>
      <c r="AO39" s="45" t="s">
        <v>36</v>
      </c>
      <c r="AP39" s="45" t="s">
        <v>56</v>
      </c>
      <c r="AQ39" s="45">
        <v>14500</v>
      </c>
      <c r="AR39" s="45">
        <v>18700</v>
      </c>
      <c r="AS39" s="45">
        <v>350</v>
      </c>
      <c r="AT39" s="45" t="s">
        <v>67</v>
      </c>
      <c r="AU39" s="45">
        <v>29100</v>
      </c>
      <c r="AV39" s="45">
        <v>54500</v>
      </c>
      <c r="AW39" s="45">
        <v>4</v>
      </c>
      <c r="AX39" s="45">
        <f>ROUNDUP(AX38*103%,-1)</f>
        <v>28040</v>
      </c>
      <c r="AY39" s="45" t="s">
        <v>78</v>
      </c>
      <c r="AZ39" s="46">
        <v>44</v>
      </c>
      <c r="BA39" s="46">
        <v>9.019</v>
      </c>
    </row>
    <row r="40" spans="1:53" s="3" customFormat="1" ht="12" customHeight="1">
      <c r="A40" s="9" t="s">
        <v>16</v>
      </c>
      <c r="B40" s="53" t="s">
        <v>24</v>
      </c>
      <c r="C40" s="14">
        <f t="shared" si="0"/>
        <v>41640</v>
      </c>
      <c r="D40" s="15">
        <f t="shared" si="19"/>
        <v>7037</v>
      </c>
      <c r="E40" s="15">
        <f>IF(X40=1,IF($E$7="No",ROUND(IF('Manual Data'!I39=1%,C40*$N$5,C40*'Manual Data'!I39),0),0),0)</f>
        <v>8328</v>
      </c>
      <c r="F40" s="15">
        <f>IF(X40=1,IF(C40=0,0,IF($F$7="Yes",IF('Manual Data'!G39=1,IF(OR($E$6="A",$E$6="A-1"),IF(OR($F$6="E1A",$F$6="E2A"),800,1400),IF(NOT(OR($F$6="E1A",$F$6="E2A")),800,500)),'Manual Data'!G39),0)),0)</f>
        <v>1400</v>
      </c>
      <c r="G40" s="15">
        <f t="shared" si="30"/>
        <v>365</v>
      </c>
      <c r="H40" s="15">
        <f t="shared" si="31"/>
        <v>365</v>
      </c>
      <c r="I40" s="15"/>
      <c r="J40" s="16">
        <f t="shared" si="6"/>
        <v>59135</v>
      </c>
      <c r="K40" s="14">
        <f t="shared" si="7"/>
        <v>43960</v>
      </c>
      <c r="L40" s="15">
        <f t="shared" si="20"/>
        <v>7429</v>
      </c>
      <c r="M40" s="15">
        <f>IF(X40=1,IF($E$7="No",ROUND(IF('Manual Data'!I39=1%,C40*$N$5,C40*'Manual Data'!I39),0),0),0)</f>
        <v>8328</v>
      </c>
      <c r="N40" s="15">
        <f t="shared" si="32"/>
        <v>1400</v>
      </c>
      <c r="O40" s="15">
        <f t="shared" si="33"/>
        <v>365</v>
      </c>
      <c r="P40" s="15">
        <f t="shared" si="34"/>
        <v>365</v>
      </c>
      <c r="Q40" s="15">
        <f t="shared" si="35"/>
        <v>0</v>
      </c>
      <c r="R40" s="14">
        <f t="shared" si="36"/>
        <v>61847</v>
      </c>
      <c r="S40" s="14">
        <f t="shared" si="37"/>
        <v>2712</v>
      </c>
      <c r="T40" s="47">
        <v>16.9</v>
      </c>
      <c r="U40" s="70">
        <f>MIN(ROUNDUP(IF('Manual Data'!E39=1,IF(A40='Manual Data'!N39,ROUND(U39*103%-0.01,0),U39),'Manual Data'!E39),-1),NBPH1)</f>
        <v>41640</v>
      </c>
      <c r="V40" s="70">
        <f>MIN(ROUNDUP(IF('Manual Data'!H39=1,IF(A40='Manual Data'!N39,ROUND(V39*103%-0.01,0),V39),'Manual Data'!H39),-1),HPS)</f>
        <v>43960</v>
      </c>
      <c r="W40" s="70">
        <f>MIN(IF('Manual Data'!E38=1,IF(A40=$E$5,W39+INC1,W39),'Manual Data'!E38),OBPH1)</f>
        <v>18250</v>
      </c>
      <c r="X40" s="46">
        <f t="shared" si="9"/>
        <v>1</v>
      </c>
      <c r="Y40" s="46">
        <f t="shared" si="27"/>
        <v>0</v>
      </c>
      <c r="Z40" s="46">
        <f t="shared" si="10"/>
        <v>0</v>
      </c>
      <c r="AA40" s="46">
        <f t="shared" si="11"/>
        <v>0</v>
      </c>
      <c r="AB40" s="46">
        <f t="shared" si="12"/>
        <v>0</v>
      </c>
      <c r="AC40" s="46">
        <f t="shared" si="13"/>
        <v>2712</v>
      </c>
      <c r="AD40" s="45"/>
      <c r="AE40" s="45"/>
      <c r="AF40" s="45"/>
      <c r="AG40" s="45"/>
      <c r="AH40" s="45"/>
      <c r="AI40" s="45"/>
      <c r="AJ40" s="45"/>
      <c r="AK40" s="45"/>
      <c r="AL40" s="45"/>
      <c r="AM40" s="45"/>
      <c r="AN40" s="45" t="s">
        <v>47</v>
      </c>
      <c r="AO40" s="45" t="s">
        <v>37</v>
      </c>
      <c r="AP40" s="45" t="s">
        <v>57</v>
      </c>
      <c r="AQ40" s="45">
        <v>16000</v>
      </c>
      <c r="AR40" s="45">
        <v>20800</v>
      </c>
      <c r="AS40" s="45">
        <v>400</v>
      </c>
      <c r="AT40" s="45" t="s">
        <v>68</v>
      </c>
      <c r="AU40" s="45">
        <v>32900</v>
      </c>
      <c r="AV40" s="45">
        <v>58000</v>
      </c>
      <c r="AW40" s="45">
        <v>5</v>
      </c>
      <c r="AX40" s="45">
        <f>ROUNDUP(AX39*103%,-1)</f>
        <v>28890</v>
      </c>
      <c r="AY40" s="45" t="s">
        <v>79</v>
      </c>
      <c r="AZ40" s="46">
        <v>45</v>
      </c>
      <c r="BA40" s="46">
        <v>8.996</v>
      </c>
    </row>
    <row r="41" spans="1:53" s="3" customFormat="1" ht="12" customHeight="1">
      <c r="A41" s="9" t="s">
        <v>17</v>
      </c>
      <c r="B41" s="53" t="s">
        <v>24</v>
      </c>
      <c r="C41" s="14">
        <f t="shared" si="0"/>
        <v>41640</v>
      </c>
      <c r="D41" s="15">
        <f t="shared" si="19"/>
        <v>7037</v>
      </c>
      <c r="E41" s="15">
        <f>IF(X41=1,IF($E$7="No",ROUND(IF('Manual Data'!I40=1%,C41*$N$5,C41*'Manual Data'!I40),0),0),0)</f>
        <v>8328</v>
      </c>
      <c r="F41" s="15">
        <f>IF(X41=1,IF(C41=0,0,IF($F$7="Yes",IF('Manual Data'!G40=1,IF(OR($E$6="A",$E$6="A-1"),IF(OR($F$6="E1A",$F$6="E2A"),800,1400),IF(NOT(OR($F$6="E1A",$F$6="E2A")),800,500)),'Manual Data'!G40),0)),0)</f>
        <v>1400</v>
      </c>
      <c r="G41" s="15">
        <f t="shared" si="30"/>
        <v>365</v>
      </c>
      <c r="H41" s="15">
        <f t="shared" si="31"/>
        <v>365</v>
      </c>
      <c r="I41" s="15"/>
      <c r="J41" s="16">
        <f t="shared" si="6"/>
        <v>59135</v>
      </c>
      <c r="K41" s="14">
        <f t="shared" si="7"/>
        <v>43960</v>
      </c>
      <c r="L41" s="15">
        <f t="shared" si="20"/>
        <v>7429</v>
      </c>
      <c r="M41" s="15">
        <f>IF(X41=1,IF($E$7="No",ROUND(IF('Manual Data'!I40=1%,C41*$N$5,C41*'Manual Data'!I40),0),0),0)</f>
        <v>8328</v>
      </c>
      <c r="N41" s="15">
        <f t="shared" si="32"/>
        <v>1400</v>
      </c>
      <c r="O41" s="15">
        <f t="shared" si="33"/>
        <v>365</v>
      </c>
      <c r="P41" s="15">
        <f t="shared" si="34"/>
        <v>365</v>
      </c>
      <c r="Q41" s="15">
        <f t="shared" si="35"/>
        <v>0</v>
      </c>
      <c r="R41" s="14">
        <f t="shared" si="36"/>
        <v>61847</v>
      </c>
      <c r="S41" s="14">
        <f t="shared" si="37"/>
        <v>2712</v>
      </c>
      <c r="T41" s="47">
        <v>16.9</v>
      </c>
      <c r="U41" s="70">
        <f>MIN(ROUNDUP(IF('Manual Data'!E40=1,IF(A41='Manual Data'!N40,ROUND(U40*103%-0.01,0),U40),'Manual Data'!E40),-1),NBPH1)</f>
        <v>41640</v>
      </c>
      <c r="V41" s="70">
        <f>MIN(ROUNDUP(IF('Manual Data'!H40=1,IF(A41='Manual Data'!N40,ROUND(V40*103%-0.01,0),V40),'Manual Data'!H40),-1),HPS)</f>
        <v>43960</v>
      </c>
      <c r="W41" s="70">
        <f>MIN(IF('Manual Data'!E39=1,IF(A41=$E$5,W40+INC1,W40),'Manual Data'!E39),OBPH1)</f>
        <v>18250</v>
      </c>
      <c r="X41" s="46">
        <f t="shared" si="9"/>
        <v>1</v>
      </c>
      <c r="Y41" s="46">
        <f t="shared" si="27"/>
        <v>0</v>
      </c>
      <c r="Z41" s="46">
        <f t="shared" si="10"/>
        <v>0</v>
      </c>
      <c r="AA41" s="46">
        <f t="shared" si="11"/>
        <v>0</v>
      </c>
      <c r="AB41" s="46">
        <f t="shared" si="12"/>
        <v>0</v>
      </c>
      <c r="AC41" s="46">
        <f t="shared" si="13"/>
        <v>2712</v>
      </c>
      <c r="AD41" s="45"/>
      <c r="AE41" s="45"/>
      <c r="AF41" s="45"/>
      <c r="AG41" s="45"/>
      <c r="AH41" s="45"/>
      <c r="AI41" s="45"/>
      <c r="AJ41" s="45"/>
      <c r="AK41" s="45"/>
      <c r="AL41" s="45"/>
      <c r="AM41" s="45"/>
      <c r="AN41" s="45" t="s">
        <v>48</v>
      </c>
      <c r="AO41" s="45" t="s">
        <v>38</v>
      </c>
      <c r="AP41" s="45" t="s">
        <v>58</v>
      </c>
      <c r="AQ41" s="45">
        <v>17500</v>
      </c>
      <c r="AR41" s="45">
        <v>22300</v>
      </c>
      <c r="AS41" s="45">
        <v>400</v>
      </c>
      <c r="AT41" s="45" t="s">
        <v>69</v>
      </c>
      <c r="AU41" s="45">
        <v>36600</v>
      </c>
      <c r="AV41" s="45">
        <v>62000</v>
      </c>
      <c r="AW41" s="45">
        <v>6</v>
      </c>
      <c r="AX41" s="45">
        <f>ROUNDUP(AX40*103%,-1)</f>
        <v>29760</v>
      </c>
      <c r="AY41" s="45" t="s">
        <v>80</v>
      </c>
      <c r="AZ41" s="46">
        <v>46</v>
      </c>
      <c r="BA41" s="46">
        <v>8.971</v>
      </c>
    </row>
    <row r="42" spans="1:53" s="3" customFormat="1" ht="12" customHeight="1">
      <c r="A42" s="9" t="s">
        <v>18</v>
      </c>
      <c r="B42" s="53" t="s">
        <v>24</v>
      </c>
      <c r="C42" s="14">
        <f t="shared" si="0"/>
        <v>41640</v>
      </c>
      <c r="D42" s="15">
        <f t="shared" si="19"/>
        <v>7703</v>
      </c>
      <c r="E42" s="15">
        <f>IF(X42=1,IF($E$7="No",ROUND(IF('Manual Data'!I41=1%,C42*$N$5,C42*'Manual Data'!I41),0),0),0)</f>
        <v>8328</v>
      </c>
      <c r="F42" s="15">
        <f>IF(X42=1,IF(C42=0,0,IF($F$7="Yes",IF('Manual Data'!G41=1,IF(OR($E$6="A",$E$6="A-1"),IF(OR($F$6="E1A",$F$6="E2A"),800,1400),IF(NOT(OR($F$6="E1A",$F$6="E2A")),800,500)),'Manual Data'!G41),0)),0)</f>
        <v>1400</v>
      </c>
      <c r="G42" s="15">
        <f t="shared" si="30"/>
        <v>365</v>
      </c>
      <c r="H42" s="15">
        <f t="shared" si="31"/>
        <v>365</v>
      </c>
      <c r="I42" s="15"/>
      <c r="J42" s="16">
        <f t="shared" si="6"/>
        <v>59801</v>
      </c>
      <c r="K42" s="14">
        <f t="shared" si="7"/>
        <v>43960</v>
      </c>
      <c r="L42" s="15">
        <f t="shared" si="20"/>
        <v>8133</v>
      </c>
      <c r="M42" s="15">
        <f>IF(X42=1,IF($E$7="No",ROUND(IF('Manual Data'!I41=1%,C42*$N$5,C42*'Manual Data'!I41),0),0),0)</f>
        <v>8328</v>
      </c>
      <c r="N42" s="15">
        <f t="shared" si="32"/>
        <v>1400</v>
      </c>
      <c r="O42" s="15">
        <f t="shared" si="33"/>
        <v>365</v>
      </c>
      <c r="P42" s="15">
        <f t="shared" si="34"/>
        <v>365</v>
      </c>
      <c r="Q42" s="15">
        <f t="shared" si="35"/>
        <v>0</v>
      </c>
      <c r="R42" s="14">
        <f t="shared" si="36"/>
        <v>62551</v>
      </c>
      <c r="S42" s="14">
        <f t="shared" si="37"/>
        <v>2750</v>
      </c>
      <c r="T42" s="47">
        <v>18.5</v>
      </c>
      <c r="U42" s="70">
        <f>MIN(ROUNDUP(IF('Manual Data'!E41=1,IF(A42='Manual Data'!N41,ROUND(U41*103%-0.01,0),U41),'Manual Data'!E41),-1),NBPH1)</f>
        <v>41640</v>
      </c>
      <c r="V42" s="70">
        <f>MIN(ROUNDUP(IF('Manual Data'!H41=1,IF(A42='Manual Data'!N41,ROUND(V41*103%-0.01,0),V41),'Manual Data'!H41),-1),HPS)</f>
        <v>43960</v>
      </c>
      <c r="W42" s="70">
        <f>MIN(IF('Manual Data'!E40=1,IF(A42=$E$5,W41+INC1,W41),'Manual Data'!E40),OBPH1)</f>
        <v>18250</v>
      </c>
      <c r="X42" s="46">
        <f t="shared" si="9"/>
        <v>1</v>
      </c>
      <c r="Y42" s="46">
        <f t="shared" si="27"/>
        <v>0</v>
      </c>
      <c r="Z42" s="46">
        <f t="shared" si="10"/>
        <v>0</v>
      </c>
      <c r="AA42" s="46">
        <f t="shared" si="11"/>
        <v>0</v>
      </c>
      <c r="AB42" s="46">
        <f t="shared" si="12"/>
        <v>0</v>
      </c>
      <c r="AC42" s="46">
        <f t="shared" si="13"/>
        <v>2750</v>
      </c>
      <c r="AD42" s="45"/>
      <c r="AE42" s="45"/>
      <c r="AF42" s="45"/>
      <c r="AG42" s="45"/>
      <c r="AH42" s="45"/>
      <c r="AI42" s="45"/>
      <c r="AJ42" s="45"/>
      <c r="AK42" s="45"/>
      <c r="AL42" s="45"/>
      <c r="AM42" s="45"/>
      <c r="AN42" s="45" t="s">
        <v>49</v>
      </c>
      <c r="AO42" s="45" t="s">
        <v>39</v>
      </c>
      <c r="AP42" s="45" t="s">
        <v>59</v>
      </c>
      <c r="AQ42" s="45">
        <v>18500</v>
      </c>
      <c r="AR42" s="45">
        <v>23900</v>
      </c>
      <c r="AS42" s="45">
        <v>450</v>
      </c>
      <c r="AT42" s="45" t="s">
        <v>70</v>
      </c>
      <c r="AU42" s="45">
        <v>43200</v>
      </c>
      <c r="AV42" s="45">
        <v>66000</v>
      </c>
      <c r="AW42" s="45">
        <v>7</v>
      </c>
      <c r="AX42" s="45">
        <f>ROUNDUP(AX41*103%,-1)</f>
        <v>30660</v>
      </c>
      <c r="AY42" s="45" t="s">
        <v>81</v>
      </c>
      <c r="AZ42" s="46">
        <v>47</v>
      </c>
      <c r="BA42" s="46">
        <v>8.943</v>
      </c>
    </row>
    <row r="43" spans="1:53" ht="12" customHeight="1">
      <c r="A43" s="9" t="s">
        <v>19</v>
      </c>
      <c r="B43" s="53" t="s">
        <v>24</v>
      </c>
      <c r="C43" s="14">
        <f t="shared" si="0"/>
        <v>41640</v>
      </c>
      <c r="D43" s="15">
        <f t="shared" si="19"/>
        <v>7703</v>
      </c>
      <c r="E43" s="15">
        <f>IF(X43=1,IF($E$7="No",ROUND(IF('Manual Data'!I42=1%,C43*$N$5,C43*'Manual Data'!I42),0),0),0)</f>
        <v>8328</v>
      </c>
      <c r="F43" s="15">
        <f>IF(X43=1,IF(C43=0,0,IF($F$7="Yes",IF('Manual Data'!G42=1,IF(OR($E$6="A",$E$6="A-1"),IF(OR($F$6="E1A",$F$6="E2A"),800,1400),IF(NOT(OR($F$6="E1A",$F$6="E2A")),800,500)),'Manual Data'!G42),0)),0)</f>
        <v>1400</v>
      </c>
      <c r="G43" s="15">
        <f t="shared" si="30"/>
        <v>365</v>
      </c>
      <c r="H43" s="15">
        <f t="shared" si="31"/>
        <v>365</v>
      </c>
      <c r="I43" s="15"/>
      <c r="J43" s="16">
        <f t="shared" si="6"/>
        <v>59801</v>
      </c>
      <c r="K43" s="14">
        <f t="shared" si="7"/>
        <v>43960</v>
      </c>
      <c r="L43" s="15">
        <f t="shared" si="20"/>
        <v>8133</v>
      </c>
      <c r="M43" s="15">
        <f>IF(X43=1,IF($E$7="No",ROUND(IF('Manual Data'!I42=1%,C43*$N$5,C43*'Manual Data'!I42),0),0),0)</f>
        <v>8328</v>
      </c>
      <c r="N43" s="15">
        <f t="shared" si="32"/>
        <v>1400</v>
      </c>
      <c r="O43" s="15">
        <f t="shared" si="33"/>
        <v>365</v>
      </c>
      <c r="P43" s="15">
        <f t="shared" si="34"/>
        <v>365</v>
      </c>
      <c r="Q43" s="15">
        <f t="shared" si="35"/>
        <v>0</v>
      </c>
      <c r="R43" s="14">
        <f t="shared" si="36"/>
        <v>62551</v>
      </c>
      <c r="S43" s="14">
        <f t="shared" si="37"/>
        <v>2750</v>
      </c>
      <c r="T43" s="47">
        <v>18.5</v>
      </c>
      <c r="U43" s="70">
        <f>MIN(ROUNDUP(IF('Manual Data'!E42=1,IF(A43='Manual Data'!N42,ROUND(U42*103%-0.01,0),U42),'Manual Data'!E42),-1),NBPH1)</f>
        <v>41640</v>
      </c>
      <c r="V43" s="70">
        <f>MIN(ROUNDUP(IF('Manual Data'!H42=1,IF(A43='Manual Data'!N42,ROUND(V42*103%-0.01,0),V42),'Manual Data'!H42),-1),HPS)</f>
        <v>43960</v>
      </c>
      <c r="W43" s="70">
        <f>MIN(IF('Manual Data'!E41=1,IF(A43=$E$5,W42+INC1,W42),'Manual Data'!E41),OBPH1)</f>
        <v>18250</v>
      </c>
      <c r="X43" s="46">
        <f t="shared" si="9"/>
        <v>1</v>
      </c>
      <c r="Y43" s="46">
        <f t="shared" si="27"/>
        <v>0</v>
      </c>
      <c r="Z43" s="46">
        <f t="shared" si="10"/>
        <v>0</v>
      </c>
      <c r="AA43" s="46">
        <f t="shared" si="11"/>
        <v>0</v>
      </c>
      <c r="AB43" s="46">
        <f t="shared" si="12"/>
        <v>0</v>
      </c>
      <c r="AC43" s="46">
        <f t="shared" si="13"/>
        <v>2750</v>
      </c>
      <c r="AZ43" s="154">
        <v>48</v>
      </c>
      <c r="BA43" s="154">
        <v>8.913</v>
      </c>
    </row>
    <row r="44" spans="1:53" ht="12" customHeight="1">
      <c r="A44" s="9" t="s">
        <v>20</v>
      </c>
      <c r="B44" s="53" t="s">
        <v>24</v>
      </c>
      <c r="C44" s="14">
        <f aca="true" t="shared" si="38" ref="C44:C75">IF(X44=1,U44*X44,ROUNDUP(MIN(MAX($Z$12:$Z$89),45000)-MIN(MAX($Z$12:$Z$89),45000)*$J$6,0))</f>
        <v>41640</v>
      </c>
      <c r="D44" s="15">
        <f t="shared" si="19"/>
        <v>7703</v>
      </c>
      <c r="E44" s="15">
        <f>IF(X44=1,IF($E$7="No",ROUND(IF('Manual Data'!I43=1%,C44*$N$5,C44*'Manual Data'!I43),0),0),0)</f>
        <v>8328</v>
      </c>
      <c r="F44" s="15">
        <f>IF(X44=1,IF(C44=0,0,IF($F$7="Yes",IF('Manual Data'!G43=1,IF(OR($E$6="A",$E$6="A-1"),IF(OR($F$6="E1A",$F$6="E2A"),800,1400),IF(NOT(OR($F$6="E1A",$F$6="E2A")),800,500)),'Manual Data'!G43),0)),0)</f>
        <v>1400</v>
      </c>
      <c r="G44" s="15">
        <v>0</v>
      </c>
      <c r="H44" s="15">
        <f aca="true" t="shared" si="39" ref="H44:H89">IF(X44=1,ROUND(C44*2%,0),0)</f>
        <v>833</v>
      </c>
      <c r="I44" s="15"/>
      <c r="J44" s="16">
        <f aca="true" t="shared" si="40" ref="J44:J75">SUM(C44:I44)</f>
        <v>59904</v>
      </c>
      <c r="K44" s="14">
        <f aca="true" t="shared" si="41" ref="K44:K75">IF(X44=1,V44*X44,(MAX($AA$12:$AA$89)-(MAX($Z$12:$Z$89)-$N$6)))</f>
        <v>43960</v>
      </c>
      <c r="L44" s="15">
        <f t="shared" si="20"/>
        <v>8133</v>
      </c>
      <c r="M44" s="15">
        <f>IF(X44=1,IF($E$7="No",ROUND(IF('Manual Data'!I43=1%,C44*$N$5,C44*'Manual Data'!I43),0),0),0)</f>
        <v>8328</v>
      </c>
      <c r="N44" s="15">
        <f t="shared" si="32"/>
        <v>1400</v>
      </c>
      <c r="O44" s="17">
        <f t="shared" si="33"/>
        <v>0</v>
      </c>
      <c r="P44" s="15">
        <f t="shared" si="34"/>
        <v>833</v>
      </c>
      <c r="Q44" s="15">
        <f t="shared" si="35"/>
        <v>0</v>
      </c>
      <c r="R44" s="14">
        <f t="shared" si="36"/>
        <v>62654</v>
      </c>
      <c r="S44" s="14">
        <f t="shared" si="37"/>
        <v>2750</v>
      </c>
      <c r="T44" s="47">
        <v>18.5</v>
      </c>
      <c r="U44" s="70">
        <f>MIN(ROUNDUP(IF('Manual Data'!E43=1,IF(A44='Manual Data'!N43,ROUND(U43*103%-0.01,0),U43),'Manual Data'!E43),-1),NBPH1)</f>
        <v>41640</v>
      </c>
      <c r="V44" s="70">
        <f>MIN(ROUNDUP(IF('Manual Data'!H43=1,IF(A44='Manual Data'!N43,ROUND(V43*103%-0.01,0),V43),'Manual Data'!H43),-1),HPS)</f>
        <v>43960</v>
      </c>
      <c r="W44" s="70">
        <f>MIN(IF('Manual Data'!E42=1,IF(A44=$E$5,W43+INC1,W43),'Manual Data'!E42),OBPH1)</f>
        <v>18250</v>
      </c>
      <c r="X44" s="46">
        <f aca="true" t="shared" si="42" ref="X44:X75">MIN(IF(A43&amp;"20"&amp;B43=$E$8&amp;$F$8,0.5,1),X43)</f>
        <v>1</v>
      </c>
      <c r="Y44" s="46">
        <f t="shared" si="27"/>
        <v>0</v>
      </c>
      <c r="Z44" s="46">
        <f aca="true" t="shared" si="43" ref="Z44:Z75">(U44/2)*Y44</f>
        <v>0</v>
      </c>
      <c r="AA44" s="46">
        <f aca="true" t="shared" si="44" ref="AA44:AA75">(V44/2)*Y44</f>
        <v>0</v>
      </c>
      <c r="AB44" s="46">
        <f aca="true" t="shared" si="45" ref="AB44:AB75">T44*Y44</f>
        <v>0</v>
      </c>
      <c r="AC44" s="46">
        <f aca="true" t="shared" si="46" ref="AC44:AC75">IF(X44=1,S44,0)</f>
        <v>2750</v>
      </c>
      <c r="AZ44" s="154">
        <v>49</v>
      </c>
      <c r="BA44" s="154">
        <v>8.881</v>
      </c>
    </row>
    <row r="45" spans="1:53" ht="12" customHeight="1">
      <c r="A45" s="9" t="s">
        <v>0</v>
      </c>
      <c r="B45" s="53" t="s">
        <v>24</v>
      </c>
      <c r="C45" s="14">
        <f t="shared" si="38"/>
        <v>41640</v>
      </c>
      <c r="D45" s="15">
        <f aca="true" t="shared" si="47" ref="D45:D76">ROUND(C45*T45%,0)</f>
        <v>10535</v>
      </c>
      <c r="E45" s="15">
        <f>IF(X45=1,IF($E$7="No",ROUND(IF('Manual Data'!I44=1%,C45*$N$5,C45*'Manual Data'!I44),0),0),0)</f>
        <v>8328</v>
      </c>
      <c r="F45" s="15">
        <f>IF(X45=1,IF(C45=0,0,IF($F$7="Yes",IF('Manual Data'!G44=1,IF(OR($E$6="A",$E$6="A-1"),IF(OR($F$6="E1A",$F$6="E2A"),800,1400),IF(NOT(OR($F$6="E1A",$F$6="E2A")),800,500)),'Manual Data'!G44),0)),0)</f>
        <v>1400</v>
      </c>
      <c r="G45" s="15">
        <v>0</v>
      </c>
      <c r="H45" s="15">
        <f t="shared" si="39"/>
        <v>833</v>
      </c>
      <c r="I45" s="15"/>
      <c r="J45" s="16">
        <f t="shared" si="40"/>
        <v>62736</v>
      </c>
      <c r="K45" s="14">
        <f t="shared" si="41"/>
        <v>43960</v>
      </c>
      <c r="L45" s="15">
        <f aca="true" t="shared" si="48" ref="L45:L76">ROUND(K45*T45%,0)</f>
        <v>11122</v>
      </c>
      <c r="M45" s="15">
        <f>IF(X45=1,IF($E$7="No",ROUND(IF('Manual Data'!I44=1%,C45*$N$5,C45*'Manual Data'!I44),0),0),0)</f>
        <v>8328</v>
      </c>
      <c r="N45" s="15">
        <f t="shared" si="32"/>
        <v>1400</v>
      </c>
      <c r="O45" s="15">
        <f t="shared" si="33"/>
        <v>0</v>
      </c>
      <c r="P45" s="15">
        <f t="shared" si="34"/>
        <v>833</v>
      </c>
      <c r="Q45" s="15">
        <f t="shared" si="35"/>
        <v>0</v>
      </c>
      <c r="R45" s="14">
        <f t="shared" si="36"/>
        <v>65643</v>
      </c>
      <c r="S45" s="14">
        <f t="shared" si="37"/>
        <v>2907</v>
      </c>
      <c r="T45" s="47">
        <v>25.3</v>
      </c>
      <c r="U45" s="70">
        <f>MIN(ROUNDUP(IF('Manual Data'!E44=1,IF(A45='Manual Data'!N44,ROUND(U44*103%-0.01,0),U44),'Manual Data'!E44),-1),NBPH1)</f>
        <v>41640</v>
      </c>
      <c r="V45" s="70">
        <f>MIN(ROUNDUP(IF('Manual Data'!H44=1,IF(A45='Manual Data'!N44,ROUND(V44*103%-0.01,0),V44),'Manual Data'!H44),-1),HPS)</f>
        <v>43960</v>
      </c>
      <c r="W45" s="70">
        <f>MIN(IF('Manual Data'!E43=1,IF(A45=$E$5,W44+INC1,W44),'Manual Data'!E43),OBPH1)</f>
        <v>18250</v>
      </c>
      <c r="X45" s="46">
        <f t="shared" si="42"/>
        <v>1</v>
      </c>
      <c r="Y45" s="46">
        <f t="shared" si="27"/>
        <v>0</v>
      </c>
      <c r="Z45" s="46">
        <f t="shared" si="43"/>
        <v>0</v>
      </c>
      <c r="AA45" s="46">
        <f t="shared" si="44"/>
        <v>0</v>
      </c>
      <c r="AB45" s="46">
        <f t="shared" si="45"/>
        <v>0</v>
      </c>
      <c r="AC45" s="46">
        <f t="shared" si="46"/>
        <v>2907</v>
      </c>
      <c r="AZ45" s="154">
        <v>50</v>
      </c>
      <c r="BA45" s="154">
        <v>8.846</v>
      </c>
    </row>
    <row r="46" spans="1:53" ht="12" customHeight="1">
      <c r="A46" s="9" t="s">
        <v>10</v>
      </c>
      <c r="B46" s="53" t="s">
        <v>24</v>
      </c>
      <c r="C46" s="14">
        <f t="shared" si="38"/>
        <v>41640</v>
      </c>
      <c r="D46" s="15">
        <f t="shared" si="47"/>
        <v>10535</v>
      </c>
      <c r="E46" s="15">
        <f>IF(X46=1,IF($E$7="No",ROUND(IF('Manual Data'!I45=1%,C46*$N$5,C46*'Manual Data'!I45),0),0),0)</f>
        <v>8328</v>
      </c>
      <c r="F46" s="15">
        <f>IF(X46=1,IF(C46=0,0,IF($F$7="Yes",IF('Manual Data'!G45=1,IF(OR($E$6="A",$E$6="A-1"),IF(OR($F$6="E1A",$F$6="E2A"),800,1400),IF(NOT(OR($F$6="E1A",$F$6="E2A")),800,500)),'Manual Data'!G45),0)),0)</f>
        <v>1400</v>
      </c>
      <c r="G46" s="15">
        <v>0</v>
      </c>
      <c r="H46" s="15">
        <f t="shared" si="39"/>
        <v>833</v>
      </c>
      <c r="I46" s="15"/>
      <c r="J46" s="16">
        <f t="shared" si="40"/>
        <v>62736</v>
      </c>
      <c r="K46" s="14">
        <f t="shared" si="41"/>
        <v>43960</v>
      </c>
      <c r="L46" s="15">
        <f t="shared" si="48"/>
        <v>11122</v>
      </c>
      <c r="M46" s="15">
        <f>IF(X46=1,IF($E$7="No",ROUND(IF('Manual Data'!I45=1%,C46*$N$5,C46*'Manual Data'!I45),0),0),0)</f>
        <v>8328</v>
      </c>
      <c r="N46" s="15">
        <f t="shared" si="32"/>
        <v>1400</v>
      </c>
      <c r="O46" s="15">
        <f t="shared" si="33"/>
        <v>0</v>
      </c>
      <c r="P46" s="15">
        <f t="shared" si="34"/>
        <v>833</v>
      </c>
      <c r="Q46" s="15">
        <f t="shared" si="35"/>
        <v>0</v>
      </c>
      <c r="R46" s="14">
        <f t="shared" si="36"/>
        <v>65643</v>
      </c>
      <c r="S46" s="14">
        <f t="shared" si="37"/>
        <v>2907</v>
      </c>
      <c r="T46" s="47">
        <v>25.3</v>
      </c>
      <c r="U46" s="70">
        <f>MIN(ROUNDUP(IF('Manual Data'!E45=1,IF(A46='Manual Data'!N45,ROUND(U45*103%-0.01,0),U45),'Manual Data'!E45),-1),NBPH1)</f>
        <v>41640</v>
      </c>
      <c r="V46" s="70">
        <f>MIN(ROUNDUP(IF('Manual Data'!H45=1,IF(A46='Manual Data'!N45,ROUND(V45*103%-0.01,0),V45),'Manual Data'!H45),-1),HPS)</f>
        <v>43960</v>
      </c>
      <c r="W46" s="70">
        <f>MIN(IF('Manual Data'!E44=1,IF(A46=$E$5,W45+INC1,W45),'Manual Data'!E44),OBPH1)</f>
        <v>18250</v>
      </c>
      <c r="X46" s="46">
        <f t="shared" si="42"/>
        <v>1</v>
      </c>
      <c r="Y46" s="46">
        <f t="shared" si="27"/>
        <v>0</v>
      </c>
      <c r="Z46" s="46">
        <f t="shared" si="43"/>
        <v>0</v>
      </c>
      <c r="AA46" s="46">
        <f t="shared" si="44"/>
        <v>0</v>
      </c>
      <c r="AB46" s="46">
        <f t="shared" si="45"/>
        <v>0</v>
      </c>
      <c r="AC46" s="46">
        <f t="shared" si="46"/>
        <v>2907</v>
      </c>
      <c r="AZ46" s="154">
        <v>51</v>
      </c>
      <c r="BA46" s="154">
        <v>8.808</v>
      </c>
    </row>
    <row r="47" spans="1:53" ht="12" customHeight="1">
      <c r="A47" s="9" t="s">
        <v>11</v>
      </c>
      <c r="B47" s="53" t="s">
        <v>24</v>
      </c>
      <c r="C47" s="14">
        <f t="shared" si="38"/>
        <v>41640</v>
      </c>
      <c r="D47" s="15">
        <f t="shared" si="47"/>
        <v>10535</v>
      </c>
      <c r="E47" s="15">
        <f>IF(X47=1,IF($E$7="No",ROUND(IF('Manual Data'!I46=1%,C47*$N$5,C47*'Manual Data'!I46),0),0),0)</f>
        <v>8328</v>
      </c>
      <c r="F47" s="15">
        <f>IF(X47=1,IF(C47=0,0,IF($F$7="Yes",IF('Manual Data'!G46=1,IF(OR($E$6="A",$E$6="A-1"),IF(OR($F$6="E1A",$F$6="E2A"),800,1400),IF(NOT(OR($F$6="E1A",$F$6="E2A")),800,500)),'Manual Data'!G46),0)),0)</f>
        <v>1400</v>
      </c>
      <c r="G47" s="15">
        <v>0</v>
      </c>
      <c r="H47" s="15">
        <f t="shared" si="39"/>
        <v>833</v>
      </c>
      <c r="I47" s="15"/>
      <c r="J47" s="16">
        <f t="shared" si="40"/>
        <v>62736</v>
      </c>
      <c r="K47" s="14">
        <f t="shared" si="41"/>
        <v>43960</v>
      </c>
      <c r="L47" s="15">
        <f t="shared" si="48"/>
        <v>11122</v>
      </c>
      <c r="M47" s="15">
        <f>IF(X47=1,IF($E$7="No",ROUND(IF('Manual Data'!I46=1%,C47*$N$5,C47*'Manual Data'!I46),0),0),0)</f>
        <v>8328</v>
      </c>
      <c r="N47" s="15">
        <f t="shared" si="32"/>
        <v>1400</v>
      </c>
      <c r="O47" s="15">
        <f t="shared" si="33"/>
        <v>0</v>
      </c>
      <c r="P47" s="15">
        <f t="shared" si="34"/>
        <v>833</v>
      </c>
      <c r="Q47" s="15">
        <f t="shared" si="35"/>
        <v>0</v>
      </c>
      <c r="R47" s="14">
        <f t="shared" si="36"/>
        <v>65643</v>
      </c>
      <c r="S47" s="14">
        <f t="shared" si="37"/>
        <v>2907</v>
      </c>
      <c r="T47" s="47">
        <v>25.3</v>
      </c>
      <c r="U47" s="70">
        <f>MIN(ROUNDUP(IF('Manual Data'!E46=1,IF(A47='Manual Data'!N46,ROUND(U46*103%-0.01,0),U46),'Manual Data'!E46),-1),NBPH1)</f>
        <v>41640</v>
      </c>
      <c r="V47" s="70">
        <f>MIN(ROUNDUP(IF('Manual Data'!H46=1,IF(A47='Manual Data'!N46,ROUND(V46*103%-0.01,0),V46),'Manual Data'!H46),-1),HPS)</f>
        <v>43960</v>
      </c>
      <c r="W47" s="70">
        <f>MIN(IF('Manual Data'!E45=1,IF(A47=$E$5,W46+INC1,W46),'Manual Data'!E45),OBPH1)</f>
        <v>18250</v>
      </c>
      <c r="X47" s="46">
        <f t="shared" si="42"/>
        <v>1</v>
      </c>
      <c r="Y47" s="46">
        <f t="shared" si="27"/>
        <v>0</v>
      </c>
      <c r="Z47" s="46">
        <f t="shared" si="43"/>
        <v>0</v>
      </c>
      <c r="AA47" s="46">
        <f t="shared" si="44"/>
        <v>0</v>
      </c>
      <c r="AB47" s="46">
        <f t="shared" si="45"/>
        <v>0</v>
      </c>
      <c r="AC47" s="46">
        <f t="shared" si="46"/>
        <v>2907</v>
      </c>
      <c r="AZ47" s="154">
        <v>52</v>
      </c>
      <c r="BA47" s="154">
        <v>8.768</v>
      </c>
    </row>
    <row r="48" spans="1:53" ht="12" customHeight="1">
      <c r="A48" s="9" t="s">
        <v>12</v>
      </c>
      <c r="B48" s="53" t="s">
        <v>95</v>
      </c>
      <c r="C48" s="14">
        <f t="shared" si="38"/>
        <v>41640</v>
      </c>
      <c r="D48" s="15">
        <f t="shared" si="47"/>
        <v>12867</v>
      </c>
      <c r="E48" s="15">
        <f>IF(X48=1,IF($E$7="No",ROUND(IF('Manual Data'!I47=1%,C48*$N$5,C48*'Manual Data'!I47),0),0),0)</f>
        <v>8328</v>
      </c>
      <c r="F48" s="15">
        <f>IF(X48=1,IF(C48=0,0,IF($F$7="Yes",IF('Manual Data'!G47=1,IF(OR($E$6="A",$E$6="A-1"),IF(OR($F$6="E1A",$F$6="E2A"),800,1400),IF(NOT(OR($F$6="E1A",$F$6="E2A")),800,500)),'Manual Data'!G47),0)),0)</f>
        <v>1400</v>
      </c>
      <c r="G48" s="15">
        <v>0</v>
      </c>
      <c r="H48" s="15">
        <f t="shared" si="39"/>
        <v>833</v>
      </c>
      <c r="I48" s="15"/>
      <c r="J48" s="16">
        <f t="shared" si="40"/>
        <v>65068</v>
      </c>
      <c r="K48" s="14">
        <f t="shared" si="41"/>
        <v>43960</v>
      </c>
      <c r="L48" s="15">
        <f t="shared" si="48"/>
        <v>13584</v>
      </c>
      <c r="M48" s="15">
        <f>IF(X48=1,IF($E$7="No",ROUND(IF('Manual Data'!I47=1%,C48*$N$5,C48*'Manual Data'!I47),0),0),0)</f>
        <v>8328</v>
      </c>
      <c r="N48" s="15">
        <f t="shared" si="32"/>
        <v>1400</v>
      </c>
      <c r="O48" s="15">
        <f t="shared" si="33"/>
        <v>0</v>
      </c>
      <c r="P48" s="15">
        <f t="shared" si="34"/>
        <v>833</v>
      </c>
      <c r="Q48" s="15">
        <f t="shared" si="35"/>
        <v>0</v>
      </c>
      <c r="R48" s="14">
        <f t="shared" si="36"/>
        <v>68105</v>
      </c>
      <c r="S48" s="14">
        <f t="shared" si="37"/>
        <v>3037</v>
      </c>
      <c r="T48" s="47">
        <v>30.9</v>
      </c>
      <c r="U48" s="70">
        <f>MIN(ROUNDUP(IF('Manual Data'!E47=1,IF(A48='Manual Data'!N47,ROUND(U47*103%-0.01,0),U47),'Manual Data'!E47),-1),NBPH1)</f>
        <v>41640</v>
      </c>
      <c r="V48" s="70">
        <f>MIN(ROUNDUP(IF('Manual Data'!H47=1,IF(A48='Manual Data'!N47,ROUND(V47*103%-0.01,0),V47),'Manual Data'!H47),-1),HPS)</f>
        <v>43960</v>
      </c>
      <c r="W48" s="70">
        <f>MIN(IF('Manual Data'!E46=1,IF(A48=$E$5,W47+INC1,W47),'Manual Data'!E46),OBPH1)</f>
        <v>18250</v>
      </c>
      <c r="X48" s="46">
        <f t="shared" si="42"/>
        <v>1</v>
      </c>
      <c r="Y48" s="46">
        <f t="shared" si="27"/>
        <v>0</v>
      </c>
      <c r="Z48" s="46">
        <f t="shared" si="43"/>
        <v>0</v>
      </c>
      <c r="AA48" s="46">
        <f t="shared" si="44"/>
        <v>0</v>
      </c>
      <c r="AB48" s="46">
        <f t="shared" si="45"/>
        <v>0</v>
      </c>
      <c r="AC48" s="46">
        <f t="shared" si="46"/>
        <v>3037</v>
      </c>
      <c r="AZ48" s="154">
        <v>53</v>
      </c>
      <c r="BA48" s="154">
        <v>8.724</v>
      </c>
    </row>
    <row r="49" spans="1:53" ht="12" customHeight="1">
      <c r="A49" s="9" t="s">
        <v>13</v>
      </c>
      <c r="B49" s="53" t="s">
        <v>95</v>
      </c>
      <c r="C49" s="14">
        <f t="shared" si="38"/>
        <v>41640</v>
      </c>
      <c r="D49" s="15">
        <f t="shared" si="47"/>
        <v>12867</v>
      </c>
      <c r="E49" s="15">
        <f>IF(X49=1,IF($E$7="No",ROUND(IF('Manual Data'!I48=1%,C49*$N$5,C49*'Manual Data'!I48),0),0),0)</f>
        <v>8328</v>
      </c>
      <c r="F49" s="15">
        <f>IF(X49=1,IF(C49=0,0,IF($F$7="Yes",IF('Manual Data'!G48=1,IF(OR($E$6="A",$E$6="A-1"),IF(OR($F$6="E1A",$F$6="E2A"),800,1400),IF(NOT(OR($F$6="E1A",$F$6="E2A")),800,500)),'Manual Data'!G48),0)),0)</f>
        <v>1400</v>
      </c>
      <c r="G49" s="15">
        <v>0</v>
      </c>
      <c r="H49" s="15">
        <f t="shared" si="39"/>
        <v>833</v>
      </c>
      <c r="I49" s="15"/>
      <c r="J49" s="16">
        <f t="shared" si="40"/>
        <v>65068</v>
      </c>
      <c r="K49" s="14">
        <f t="shared" si="41"/>
        <v>43960</v>
      </c>
      <c r="L49" s="15">
        <f t="shared" si="48"/>
        <v>13584</v>
      </c>
      <c r="M49" s="15">
        <f>IF(X49=1,IF($E$7="No",ROUND(IF('Manual Data'!I48=1%,C49*$N$5,C49*'Manual Data'!I48),0),0),0)</f>
        <v>8328</v>
      </c>
      <c r="N49" s="15">
        <f t="shared" si="32"/>
        <v>1400</v>
      </c>
      <c r="O49" s="15">
        <f t="shared" si="33"/>
        <v>0</v>
      </c>
      <c r="P49" s="15">
        <f t="shared" si="34"/>
        <v>833</v>
      </c>
      <c r="Q49" s="15">
        <f t="shared" si="35"/>
        <v>0</v>
      </c>
      <c r="R49" s="14">
        <f t="shared" si="36"/>
        <v>68105</v>
      </c>
      <c r="S49" s="14">
        <f t="shared" si="37"/>
        <v>3037</v>
      </c>
      <c r="T49" s="47">
        <v>30.9</v>
      </c>
      <c r="U49" s="70">
        <f>MIN(ROUNDUP(IF('Manual Data'!E48=1,IF(A49='Manual Data'!N48,ROUND(U48*103%-0.01,0),U48),'Manual Data'!E48),-1),NBPH1)</f>
        <v>41640</v>
      </c>
      <c r="V49" s="70">
        <f>MIN(ROUNDUP(IF('Manual Data'!H48=1,IF(A49='Manual Data'!N48,ROUND(V48*103%-0.01,0),V48),'Manual Data'!H48),-1),HPS)</f>
        <v>43960</v>
      </c>
      <c r="W49" s="70">
        <f>MIN(IF('Manual Data'!E47=1,IF(A49=$E$5,W48+INC1,W48),'Manual Data'!E47),OBPH1)</f>
        <v>18250</v>
      </c>
      <c r="X49" s="46">
        <f t="shared" si="42"/>
        <v>1</v>
      </c>
      <c r="Y49" s="46">
        <f t="shared" si="27"/>
        <v>0</v>
      </c>
      <c r="Z49" s="46">
        <f t="shared" si="43"/>
        <v>0</v>
      </c>
      <c r="AA49" s="46">
        <f t="shared" si="44"/>
        <v>0</v>
      </c>
      <c r="AB49" s="46">
        <f t="shared" si="45"/>
        <v>0</v>
      </c>
      <c r="AC49" s="46">
        <f t="shared" si="46"/>
        <v>3037</v>
      </c>
      <c r="AZ49" s="154">
        <v>54</v>
      </c>
      <c r="BA49" s="154">
        <v>8.678</v>
      </c>
    </row>
    <row r="50" spans="1:53" ht="12" customHeight="1">
      <c r="A50" s="9" t="s">
        <v>14</v>
      </c>
      <c r="B50" s="53" t="s">
        <v>95</v>
      </c>
      <c r="C50" s="14">
        <f t="shared" si="38"/>
        <v>42890</v>
      </c>
      <c r="D50" s="15">
        <f t="shared" si="47"/>
        <v>13253</v>
      </c>
      <c r="E50" s="15">
        <f>IF(X50=1,IF($E$7="No",ROUND(IF('Manual Data'!I49=1%,C50*$N$5,C50*'Manual Data'!I49),0),0),0)</f>
        <v>8578</v>
      </c>
      <c r="F50" s="15">
        <f>IF(X50=1,IF(C50=0,0,IF($F$7="Yes",IF('Manual Data'!G49=1,IF(OR($E$6="A",$E$6="A-1"),IF(OR($F$6="E1A",$F$6="E2A"),800,1400),IF(NOT(OR($F$6="E1A",$F$6="E2A")),800,500)),'Manual Data'!G49),0)),0)</f>
        <v>1400</v>
      </c>
      <c r="G50" s="15">
        <v>0</v>
      </c>
      <c r="H50" s="15">
        <f t="shared" si="39"/>
        <v>858</v>
      </c>
      <c r="I50" s="15"/>
      <c r="J50" s="16">
        <f t="shared" si="40"/>
        <v>66979</v>
      </c>
      <c r="K50" s="14">
        <f t="shared" si="41"/>
        <v>45280</v>
      </c>
      <c r="L50" s="15">
        <f t="shared" si="48"/>
        <v>13992</v>
      </c>
      <c r="M50" s="15">
        <f>IF(X50=1,IF($E$7="No",ROUND(IF('Manual Data'!I49=1%,C50*$N$5,C50*'Manual Data'!I49),0),0),0)</f>
        <v>8578</v>
      </c>
      <c r="N50" s="15">
        <f t="shared" si="32"/>
        <v>1400</v>
      </c>
      <c r="O50" s="15">
        <f t="shared" si="33"/>
        <v>0</v>
      </c>
      <c r="P50" s="15">
        <f t="shared" si="34"/>
        <v>858</v>
      </c>
      <c r="Q50" s="15">
        <f t="shared" si="35"/>
        <v>0</v>
      </c>
      <c r="R50" s="14">
        <f t="shared" si="36"/>
        <v>70108</v>
      </c>
      <c r="S50" s="14">
        <f t="shared" si="37"/>
        <v>3129</v>
      </c>
      <c r="T50" s="47">
        <v>30.9</v>
      </c>
      <c r="U50" s="70">
        <f>MIN(ROUNDUP(IF('Manual Data'!E49=1,IF(A50='Manual Data'!N49,ROUND(U49*103%-0.01,0),U49),'Manual Data'!E49),-1),NBPH1)</f>
        <v>42890</v>
      </c>
      <c r="V50" s="70">
        <f>MIN(ROUNDUP(IF('Manual Data'!H49=1,IF(A50='Manual Data'!N49,ROUND(V49*103%-0.01,0),V49),'Manual Data'!H49),-1),HPS)</f>
        <v>45280</v>
      </c>
      <c r="W50" s="70">
        <f>MIN(IF('Manual Data'!E48=1,IF(A50=$E$5,W49+INC1,W49),'Manual Data'!E48),OBPH1)</f>
        <v>18250</v>
      </c>
      <c r="X50" s="46">
        <f t="shared" si="42"/>
        <v>1</v>
      </c>
      <c r="Y50" s="46">
        <f t="shared" si="27"/>
        <v>0</v>
      </c>
      <c r="Z50" s="46">
        <f t="shared" si="43"/>
        <v>0</v>
      </c>
      <c r="AA50" s="46">
        <f t="shared" si="44"/>
        <v>0</v>
      </c>
      <c r="AB50" s="46">
        <f t="shared" si="45"/>
        <v>0</v>
      </c>
      <c r="AC50" s="46">
        <f t="shared" si="46"/>
        <v>3129</v>
      </c>
      <c r="AZ50" s="154">
        <v>55</v>
      </c>
      <c r="BA50" s="154">
        <v>8.627</v>
      </c>
    </row>
    <row r="51" spans="1:53" ht="12" customHeight="1">
      <c r="A51" s="9" t="s">
        <v>15</v>
      </c>
      <c r="B51" s="53" t="s">
        <v>95</v>
      </c>
      <c r="C51" s="14">
        <f t="shared" si="38"/>
        <v>42890</v>
      </c>
      <c r="D51" s="15">
        <f t="shared" si="47"/>
        <v>14926</v>
      </c>
      <c r="E51" s="15">
        <f>IF(X51=1,IF($E$7="No",ROUND(IF('Manual Data'!I50=1%,C51*$N$5,C51*'Manual Data'!I50),0),0),0)</f>
        <v>8578</v>
      </c>
      <c r="F51" s="15">
        <f>IF(X51=1,IF(C51=0,0,IF($F$7="Yes",IF('Manual Data'!G50=1,IF(OR($E$6="A",$E$6="A-1"),IF(OR($F$6="E1A",$F$6="E2A"),800,1400),IF(NOT(OR($F$6="E1A",$F$6="E2A")),800,500)),'Manual Data'!G50),0)),0)</f>
        <v>1400</v>
      </c>
      <c r="G51" s="15">
        <v>0</v>
      </c>
      <c r="H51" s="15">
        <f t="shared" si="39"/>
        <v>858</v>
      </c>
      <c r="I51" s="15"/>
      <c r="J51" s="16">
        <f t="shared" si="40"/>
        <v>68652</v>
      </c>
      <c r="K51" s="14">
        <f t="shared" si="41"/>
        <v>45280</v>
      </c>
      <c r="L51" s="15">
        <f t="shared" si="48"/>
        <v>15757</v>
      </c>
      <c r="M51" s="15">
        <f>IF(X51=1,IF($E$7="No",ROUND(IF('Manual Data'!I50=1%,C51*$N$5,C51*'Manual Data'!I50),0),0),0)</f>
        <v>8578</v>
      </c>
      <c r="N51" s="15">
        <f t="shared" si="32"/>
        <v>1400</v>
      </c>
      <c r="O51" s="15">
        <f t="shared" si="33"/>
        <v>0</v>
      </c>
      <c r="P51" s="15">
        <f t="shared" si="34"/>
        <v>858</v>
      </c>
      <c r="Q51" s="15">
        <f t="shared" si="35"/>
        <v>0</v>
      </c>
      <c r="R51" s="14">
        <f t="shared" si="36"/>
        <v>71873</v>
      </c>
      <c r="S51" s="14">
        <f t="shared" si="37"/>
        <v>3221</v>
      </c>
      <c r="T51" s="47">
        <v>34.8</v>
      </c>
      <c r="U51" s="70">
        <f>MIN(ROUNDUP(IF('Manual Data'!E50=1,IF(A51='Manual Data'!N50,ROUND(U50*103%-0.01,0),U50),'Manual Data'!E50),-1),NBPH1)</f>
        <v>42890</v>
      </c>
      <c r="V51" s="70">
        <f>MIN(ROUNDUP(IF('Manual Data'!H50=1,IF(A51='Manual Data'!N50,ROUND(V50*103%-0.01,0),V50),'Manual Data'!H50),-1),HPS)</f>
        <v>45280</v>
      </c>
      <c r="W51" s="70">
        <f>MIN(IF('Manual Data'!E49=1,IF(A51=$E$5,W50+INC1,W50),'Manual Data'!E49),OBPH1)</f>
        <v>18250</v>
      </c>
      <c r="X51" s="46">
        <f t="shared" si="42"/>
        <v>1</v>
      </c>
      <c r="Y51" s="46">
        <f t="shared" si="27"/>
        <v>0</v>
      </c>
      <c r="Z51" s="46">
        <f t="shared" si="43"/>
        <v>0</v>
      </c>
      <c r="AA51" s="46">
        <f t="shared" si="44"/>
        <v>0</v>
      </c>
      <c r="AB51" s="46">
        <f t="shared" si="45"/>
        <v>0</v>
      </c>
      <c r="AC51" s="46">
        <f t="shared" si="46"/>
        <v>3221</v>
      </c>
      <c r="AZ51" s="154">
        <v>56</v>
      </c>
      <c r="BA51" s="154">
        <v>8.572</v>
      </c>
    </row>
    <row r="52" spans="1:53" ht="12" customHeight="1">
      <c r="A52" s="9" t="s">
        <v>16</v>
      </c>
      <c r="B52" s="53" t="s">
        <v>95</v>
      </c>
      <c r="C52" s="14">
        <f t="shared" si="38"/>
        <v>42890</v>
      </c>
      <c r="D52" s="15">
        <f t="shared" si="47"/>
        <v>14926</v>
      </c>
      <c r="E52" s="15">
        <f>IF(X52=1,IF($E$7="No",ROUND(IF('Manual Data'!I51=1%,C52*$N$5,C52*'Manual Data'!I51),0),0),0)</f>
        <v>8578</v>
      </c>
      <c r="F52" s="15">
        <f>IF(X52=1,IF(C52=0,0,IF($F$7="Yes",IF('Manual Data'!G51=1,IF(OR($E$6="A",$E$6="A-1"),IF(OR($F$6="E1A",$F$6="E2A"),800,1400),IF(NOT(OR($F$6="E1A",$F$6="E2A")),800,500)),'Manual Data'!G51),0)),0)</f>
        <v>1400</v>
      </c>
      <c r="G52" s="15">
        <v>0</v>
      </c>
      <c r="H52" s="15">
        <f t="shared" si="39"/>
        <v>858</v>
      </c>
      <c r="I52" s="15"/>
      <c r="J52" s="16">
        <f t="shared" si="40"/>
        <v>68652</v>
      </c>
      <c r="K52" s="14">
        <f t="shared" si="41"/>
        <v>45280</v>
      </c>
      <c r="L52" s="15">
        <f t="shared" si="48"/>
        <v>15757</v>
      </c>
      <c r="M52" s="15">
        <f>IF(X52=1,IF($E$7="No",ROUND(IF('Manual Data'!I51=1%,C52*$N$5,C52*'Manual Data'!I51),0),0),0)</f>
        <v>8578</v>
      </c>
      <c r="N52" s="15">
        <f t="shared" si="32"/>
        <v>1400</v>
      </c>
      <c r="O52" s="15">
        <f t="shared" si="33"/>
        <v>0</v>
      </c>
      <c r="P52" s="15">
        <f t="shared" si="34"/>
        <v>858</v>
      </c>
      <c r="Q52" s="15">
        <f t="shared" si="35"/>
        <v>0</v>
      </c>
      <c r="R52" s="14">
        <f t="shared" si="36"/>
        <v>71873</v>
      </c>
      <c r="S52" s="14">
        <f t="shared" si="37"/>
        <v>3221</v>
      </c>
      <c r="T52" s="47">
        <v>34.8</v>
      </c>
      <c r="U52" s="70">
        <f>MIN(ROUNDUP(IF('Manual Data'!E51=1,IF(A52='Manual Data'!N51,ROUND(U51*103%-0.01,0),U51),'Manual Data'!E51),-1),NBPH1)</f>
        <v>42890</v>
      </c>
      <c r="V52" s="70">
        <f>MIN(ROUNDUP(IF('Manual Data'!H51=1,IF(A52='Manual Data'!N51,ROUND(V51*103%-0.01,0),V51),'Manual Data'!H51),-1),HPS)</f>
        <v>45280</v>
      </c>
      <c r="W52" s="70">
        <f>MIN(IF('Manual Data'!E50=1,IF(A52=$E$5,W51+INC1,W51),'Manual Data'!E50),OBPH1)</f>
        <v>18250</v>
      </c>
      <c r="X52" s="46">
        <f t="shared" si="42"/>
        <v>1</v>
      </c>
      <c r="Y52" s="46">
        <f t="shared" si="27"/>
        <v>0</v>
      </c>
      <c r="Z52" s="46">
        <f t="shared" si="43"/>
        <v>0</v>
      </c>
      <c r="AA52" s="46">
        <f t="shared" si="44"/>
        <v>0</v>
      </c>
      <c r="AB52" s="46">
        <f t="shared" si="45"/>
        <v>0</v>
      </c>
      <c r="AC52" s="46">
        <f t="shared" si="46"/>
        <v>3221</v>
      </c>
      <c r="AZ52" s="154">
        <v>57</v>
      </c>
      <c r="BA52" s="154">
        <v>8.512</v>
      </c>
    </row>
    <row r="53" spans="1:53" ht="12" customHeight="1">
      <c r="A53" s="9" t="s">
        <v>17</v>
      </c>
      <c r="B53" s="53" t="s">
        <v>95</v>
      </c>
      <c r="C53" s="14">
        <f t="shared" si="38"/>
        <v>42890</v>
      </c>
      <c r="D53" s="15">
        <f t="shared" si="47"/>
        <v>14926</v>
      </c>
      <c r="E53" s="15">
        <f>IF(X53=1,IF($E$7="No",ROUND(IF('Manual Data'!I52=1%,C53*$N$5,C53*'Manual Data'!I52),0),0),0)</f>
        <v>8578</v>
      </c>
      <c r="F53" s="15">
        <f>IF(X53=1,IF(C53=0,0,IF($F$7="Yes",IF('Manual Data'!G52=1,IF(OR($E$6="A",$E$6="A-1"),IF(OR($F$6="E1A",$F$6="E2A"),800,1400),IF(NOT(OR($F$6="E1A",$F$6="E2A")),800,500)),'Manual Data'!G52),0)),0)</f>
        <v>1400</v>
      </c>
      <c r="G53" s="15">
        <v>0</v>
      </c>
      <c r="H53" s="15">
        <f t="shared" si="39"/>
        <v>858</v>
      </c>
      <c r="I53" s="15"/>
      <c r="J53" s="16">
        <f t="shared" si="40"/>
        <v>68652</v>
      </c>
      <c r="K53" s="14">
        <f t="shared" si="41"/>
        <v>45280</v>
      </c>
      <c r="L53" s="15">
        <f t="shared" si="48"/>
        <v>15757</v>
      </c>
      <c r="M53" s="15">
        <f>IF(X53=1,IF($E$7="No",ROUND(IF('Manual Data'!I52=1%,C53*$N$5,C53*'Manual Data'!I52),0),0),0)</f>
        <v>8578</v>
      </c>
      <c r="N53" s="15">
        <f t="shared" si="32"/>
        <v>1400</v>
      </c>
      <c r="O53" s="15">
        <f t="shared" si="33"/>
        <v>0</v>
      </c>
      <c r="P53" s="15">
        <f t="shared" si="34"/>
        <v>858</v>
      </c>
      <c r="Q53" s="15">
        <f t="shared" si="35"/>
        <v>0</v>
      </c>
      <c r="R53" s="14">
        <f t="shared" si="36"/>
        <v>71873</v>
      </c>
      <c r="S53" s="14">
        <f t="shared" si="37"/>
        <v>3221</v>
      </c>
      <c r="T53" s="47">
        <v>34.8</v>
      </c>
      <c r="U53" s="70">
        <f>MIN(ROUNDUP(IF('Manual Data'!E52=1,IF(A53='Manual Data'!N52,ROUND(U52*103%-0.01,0),U52),'Manual Data'!E52),-1),NBPH1)</f>
        <v>42890</v>
      </c>
      <c r="V53" s="70">
        <f>MIN(ROUNDUP(IF('Manual Data'!H52=1,IF(A53='Manual Data'!N52,ROUND(V52*103%-0.01,0),V52),'Manual Data'!H52),-1),HPS)</f>
        <v>45280</v>
      </c>
      <c r="W53" s="70">
        <f>MIN(IF('Manual Data'!E51=1,IF(A53=$E$5,W52+INC1,W52),'Manual Data'!E51),OBPH1)</f>
        <v>18250</v>
      </c>
      <c r="X53" s="46">
        <f t="shared" si="42"/>
        <v>1</v>
      </c>
      <c r="Y53" s="46">
        <f t="shared" si="27"/>
        <v>0</v>
      </c>
      <c r="Z53" s="46">
        <f t="shared" si="43"/>
        <v>0</v>
      </c>
      <c r="AA53" s="46">
        <f t="shared" si="44"/>
        <v>0</v>
      </c>
      <c r="AB53" s="46">
        <f t="shared" si="45"/>
        <v>0</v>
      </c>
      <c r="AC53" s="46">
        <f t="shared" si="46"/>
        <v>3221</v>
      </c>
      <c r="AZ53" s="154">
        <v>58</v>
      </c>
      <c r="BA53" s="154">
        <v>8.446</v>
      </c>
    </row>
    <row r="54" spans="1:53" ht="12" customHeight="1">
      <c r="A54" s="9" t="s">
        <v>18</v>
      </c>
      <c r="B54" s="53" t="s">
        <v>95</v>
      </c>
      <c r="C54" s="14">
        <f t="shared" si="38"/>
        <v>42890</v>
      </c>
      <c r="D54" s="15">
        <f t="shared" si="47"/>
        <v>15054</v>
      </c>
      <c r="E54" s="15">
        <f>IF(X54=1,IF($E$7="No",ROUND(IF('Manual Data'!I53=1%,C54*$N$5,C54*'Manual Data'!I53),0),0),0)</f>
        <v>8578</v>
      </c>
      <c r="F54" s="15">
        <f>IF(X54=1,IF(C54=0,0,IF($F$7="Yes",IF('Manual Data'!G53=1,IF(OR($E$6="A",$E$6="A-1"),IF(OR($F$6="E1A",$F$6="E2A"),800,1400),IF(NOT(OR($F$6="E1A",$F$6="E2A")),800,500)),'Manual Data'!G53),0)),0)</f>
        <v>1400</v>
      </c>
      <c r="G54" s="15">
        <v>0</v>
      </c>
      <c r="H54" s="15">
        <f t="shared" si="39"/>
        <v>858</v>
      </c>
      <c r="I54" s="15"/>
      <c r="J54" s="16">
        <f t="shared" si="40"/>
        <v>68780</v>
      </c>
      <c r="K54" s="14">
        <f t="shared" si="41"/>
        <v>45280</v>
      </c>
      <c r="L54" s="15">
        <f t="shared" si="48"/>
        <v>15893</v>
      </c>
      <c r="M54" s="15">
        <f>IF(X54=1,IF($E$7="No",ROUND(IF('Manual Data'!I53=1%,C54*$N$5,C54*'Manual Data'!I53),0),0),0)</f>
        <v>8578</v>
      </c>
      <c r="N54" s="15">
        <f t="shared" si="32"/>
        <v>1400</v>
      </c>
      <c r="O54" s="15">
        <f t="shared" si="33"/>
        <v>0</v>
      </c>
      <c r="P54" s="15">
        <f t="shared" si="34"/>
        <v>858</v>
      </c>
      <c r="Q54" s="15">
        <f t="shared" si="35"/>
        <v>0</v>
      </c>
      <c r="R54" s="14">
        <f t="shared" si="36"/>
        <v>72009</v>
      </c>
      <c r="S54" s="14">
        <f t="shared" si="37"/>
        <v>3229</v>
      </c>
      <c r="T54" s="47">
        <v>35.1</v>
      </c>
      <c r="U54" s="70">
        <f>MIN(ROUNDUP(IF('Manual Data'!E53=1,IF(A54='Manual Data'!N53,ROUND(U53*103%-0.01,0),U53),'Manual Data'!E53),-1),NBPH1)</f>
        <v>42890</v>
      </c>
      <c r="V54" s="70">
        <f>MIN(ROUNDUP(IF('Manual Data'!H53=1,IF(A54='Manual Data'!N53,ROUND(V53*103%-0.01,0),V53),'Manual Data'!H53),-1),HPS)</f>
        <v>45280</v>
      </c>
      <c r="W54" s="70">
        <f>MIN(IF('Manual Data'!E52=1,IF(A54=$E$5,W53+INC1,W53),'Manual Data'!E52),OBPH1)</f>
        <v>18250</v>
      </c>
      <c r="X54" s="46">
        <f t="shared" si="42"/>
        <v>1</v>
      </c>
      <c r="Y54" s="46">
        <f t="shared" si="27"/>
        <v>0</v>
      </c>
      <c r="Z54" s="46">
        <f t="shared" si="43"/>
        <v>0</v>
      </c>
      <c r="AA54" s="46">
        <f t="shared" si="44"/>
        <v>0</v>
      </c>
      <c r="AB54" s="46">
        <f t="shared" si="45"/>
        <v>0</v>
      </c>
      <c r="AC54" s="46">
        <f t="shared" si="46"/>
        <v>3229</v>
      </c>
      <c r="AZ54" s="154">
        <v>59</v>
      </c>
      <c r="BA54" s="154">
        <v>8.371</v>
      </c>
    </row>
    <row r="55" spans="1:53" ht="12" customHeight="1">
      <c r="A55" s="9" t="s">
        <v>19</v>
      </c>
      <c r="B55" s="53" t="s">
        <v>95</v>
      </c>
      <c r="C55" s="14">
        <f t="shared" si="38"/>
        <v>42890</v>
      </c>
      <c r="D55" s="15">
        <f t="shared" si="47"/>
        <v>15054</v>
      </c>
      <c r="E55" s="15">
        <f>IF(X55=1,IF($E$7="No",ROUND(IF('Manual Data'!I54=1%,C55*$N$5,C55*'Manual Data'!I54),0),0),0)</f>
        <v>8578</v>
      </c>
      <c r="F55" s="15">
        <f>IF(X55=1,IF(C55=0,0,IF($F$7="Yes",IF('Manual Data'!G54=1,IF(OR($E$6="A",$E$6="A-1"),IF(OR($F$6="E1A",$F$6="E2A"),800,1400),IF(NOT(OR($F$6="E1A",$F$6="E2A")),800,500)),'Manual Data'!G54),0)),0)</f>
        <v>1400</v>
      </c>
      <c r="G55" s="15">
        <v>0</v>
      </c>
      <c r="H55" s="15">
        <f t="shared" si="39"/>
        <v>858</v>
      </c>
      <c r="I55" s="15"/>
      <c r="J55" s="16">
        <f t="shared" si="40"/>
        <v>68780</v>
      </c>
      <c r="K55" s="14">
        <f t="shared" si="41"/>
        <v>45280</v>
      </c>
      <c r="L55" s="15">
        <f t="shared" si="48"/>
        <v>15893</v>
      </c>
      <c r="M55" s="15">
        <f>IF(X55=1,IF($E$7="No",ROUND(IF('Manual Data'!I54=1%,C55*$N$5,C55*'Manual Data'!I54),0),0),0)</f>
        <v>8578</v>
      </c>
      <c r="N55" s="15">
        <f t="shared" si="32"/>
        <v>1400</v>
      </c>
      <c r="O55" s="15">
        <f t="shared" si="33"/>
        <v>0</v>
      </c>
      <c r="P55" s="15">
        <f t="shared" si="34"/>
        <v>858</v>
      </c>
      <c r="Q55" s="15">
        <f t="shared" si="35"/>
        <v>0</v>
      </c>
      <c r="R55" s="14">
        <f t="shared" si="36"/>
        <v>72009</v>
      </c>
      <c r="S55" s="14">
        <f t="shared" si="37"/>
        <v>3229</v>
      </c>
      <c r="T55" s="47">
        <v>35.1</v>
      </c>
      <c r="U55" s="70">
        <f>MIN(ROUNDUP(IF('Manual Data'!E54=1,IF(A55='Manual Data'!N54,ROUND(U54*103%-0.01,0),U54),'Manual Data'!E54),-1),NBPH1)</f>
        <v>42890</v>
      </c>
      <c r="V55" s="70">
        <f>MIN(ROUNDUP(IF('Manual Data'!H54=1,IF(A55='Manual Data'!N54,ROUND(V54*103%-0.01,0),V54),'Manual Data'!H54),-1),HPS)</f>
        <v>45280</v>
      </c>
      <c r="W55" s="70">
        <f>MIN(IF('Manual Data'!E53=1,IF(A55=$E$5,W54+INC1,W54),'Manual Data'!E53),OBPH1)</f>
        <v>18250</v>
      </c>
      <c r="X55" s="46">
        <f t="shared" si="42"/>
        <v>1</v>
      </c>
      <c r="Y55" s="46">
        <f t="shared" si="27"/>
        <v>0</v>
      </c>
      <c r="Z55" s="46">
        <f t="shared" si="43"/>
        <v>0</v>
      </c>
      <c r="AA55" s="46">
        <f t="shared" si="44"/>
        <v>0</v>
      </c>
      <c r="AB55" s="46">
        <f t="shared" si="45"/>
        <v>0</v>
      </c>
      <c r="AC55" s="46">
        <f t="shared" si="46"/>
        <v>3229</v>
      </c>
      <c r="AZ55" s="154">
        <v>60</v>
      </c>
      <c r="BA55" s="154">
        <v>8.287</v>
      </c>
    </row>
    <row r="56" spans="1:53" ht="12" customHeight="1">
      <c r="A56" s="9" t="s">
        <v>20</v>
      </c>
      <c r="B56" s="53" t="s">
        <v>95</v>
      </c>
      <c r="C56" s="14">
        <f t="shared" si="38"/>
        <v>42890</v>
      </c>
      <c r="D56" s="15">
        <f t="shared" si="47"/>
        <v>15054</v>
      </c>
      <c r="E56" s="15">
        <f>IF(X56=1,IF($E$7="No",ROUND(IF('Manual Data'!I55=1%,C56*$N$5,C56*'Manual Data'!I55),0),0),0)</f>
        <v>8578</v>
      </c>
      <c r="F56" s="15">
        <f>IF(X56=1,IF(C56=0,0,IF($F$7="Yes",IF('Manual Data'!G55=1,IF(OR($E$6="A",$E$6="A-1"),IF(OR($F$6="E1A",$F$6="E2A"),800,1400),IF(NOT(OR($F$6="E1A",$F$6="E2A")),800,500)),'Manual Data'!G55),0)),0)</f>
        <v>1400</v>
      </c>
      <c r="G56" s="15">
        <v>0</v>
      </c>
      <c r="H56" s="15">
        <f t="shared" si="39"/>
        <v>858</v>
      </c>
      <c r="I56" s="15"/>
      <c r="J56" s="16">
        <f t="shared" si="40"/>
        <v>68780</v>
      </c>
      <c r="K56" s="14">
        <f t="shared" si="41"/>
        <v>45280</v>
      </c>
      <c r="L56" s="15">
        <f t="shared" si="48"/>
        <v>15893</v>
      </c>
      <c r="M56" s="15">
        <f>IF(X56=1,IF($E$7="No",ROUND(IF('Manual Data'!I55=1%,C56*$N$5,C56*'Manual Data'!I55),0),0),0)</f>
        <v>8578</v>
      </c>
      <c r="N56" s="15">
        <f t="shared" si="32"/>
        <v>1400</v>
      </c>
      <c r="O56" s="15">
        <f t="shared" si="33"/>
        <v>0</v>
      </c>
      <c r="P56" s="15">
        <f t="shared" si="34"/>
        <v>858</v>
      </c>
      <c r="Q56" s="15">
        <f t="shared" si="35"/>
        <v>0</v>
      </c>
      <c r="R56" s="14">
        <f t="shared" si="36"/>
        <v>72009</v>
      </c>
      <c r="S56" s="14">
        <f t="shared" si="37"/>
        <v>3229</v>
      </c>
      <c r="T56" s="47">
        <v>35.1</v>
      </c>
      <c r="U56" s="70">
        <f>MIN(ROUNDUP(IF('Manual Data'!E55=1,IF(A56='Manual Data'!N55,ROUND(U55*103%-0.01,0),U55),'Manual Data'!E55),-1),NBPH1)</f>
        <v>42890</v>
      </c>
      <c r="V56" s="70">
        <f>MIN(ROUNDUP(IF('Manual Data'!H55=1,IF(A56='Manual Data'!N55,ROUND(V55*103%-0.01,0),V55),'Manual Data'!H55),-1),HPS)</f>
        <v>45280</v>
      </c>
      <c r="W56" s="70">
        <f>MIN(IF('Manual Data'!E54=1,IF(A56=$E$5,W55+INC1,W55),'Manual Data'!E54),OBPH1)</f>
        <v>18250</v>
      </c>
      <c r="X56" s="46">
        <f t="shared" si="42"/>
        <v>1</v>
      </c>
      <c r="Y56" s="46">
        <f t="shared" si="27"/>
        <v>0</v>
      </c>
      <c r="Z56" s="46">
        <f t="shared" si="43"/>
        <v>0</v>
      </c>
      <c r="AA56" s="46">
        <f t="shared" si="44"/>
        <v>0</v>
      </c>
      <c r="AB56" s="46">
        <f t="shared" si="45"/>
        <v>0</v>
      </c>
      <c r="AC56" s="46">
        <f t="shared" si="46"/>
        <v>3229</v>
      </c>
      <c r="AZ56" s="154">
        <v>61</v>
      </c>
      <c r="BA56" s="154">
        <v>8.194</v>
      </c>
    </row>
    <row r="57" spans="1:53" ht="12" customHeight="1">
      <c r="A57" s="9" t="s">
        <v>0</v>
      </c>
      <c r="B57" s="53" t="s">
        <v>95</v>
      </c>
      <c r="C57" s="14">
        <f t="shared" si="38"/>
        <v>42890</v>
      </c>
      <c r="D57" s="15">
        <f t="shared" si="47"/>
        <v>17070</v>
      </c>
      <c r="E57" s="15">
        <f>IF(X57=1,IF($E$7="No",ROUND(IF('Manual Data'!I56=1%,C57*$N$5,C57*'Manual Data'!I56),0),0),0)</f>
        <v>8578</v>
      </c>
      <c r="F57" s="15">
        <f>IF(X57=1,IF(C57=0,0,IF($F$7="Yes",IF('Manual Data'!G56=1,IF(OR($E$6="A",$E$6="A-1"),IF(OR($F$6="E1A",$F$6="E2A"),800,1400),IF(NOT(OR($F$6="E1A",$F$6="E2A")),800,500)),'Manual Data'!G56),0)),0)</f>
        <v>1400</v>
      </c>
      <c r="G57" s="15">
        <v>0</v>
      </c>
      <c r="H57" s="15">
        <f t="shared" si="39"/>
        <v>858</v>
      </c>
      <c r="I57" s="15"/>
      <c r="J57" s="16">
        <f t="shared" si="40"/>
        <v>70796</v>
      </c>
      <c r="K57" s="14">
        <f t="shared" si="41"/>
        <v>45280</v>
      </c>
      <c r="L57" s="15">
        <f t="shared" si="48"/>
        <v>18021</v>
      </c>
      <c r="M57" s="15">
        <f>IF(X57=1,IF($E$7="No",ROUND(IF('Manual Data'!I56=1%,C57*$N$5,C57*'Manual Data'!I56),0),0),0)</f>
        <v>8578</v>
      </c>
      <c r="N57" s="15">
        <f t="shared" si="32"/>
        <v>1400</v>
      </c>
      <c r="O57" s="15">
        <f t="shared" si="33"/>
        <v>0</v>
      </c>
      <c r="P57" s="15">
        <f t="shared" si="34"/>
        <v>858</v>
      </c>
      <c r="Q57" s="15">
        <f t="shared" si="35"/>
        <v>0</v>
      </c>
      <c r="R57" s="14">
        <f t="shared" si="36"/>
        <v>74137</v>
      </c>
      <c r="S57" s="14">
        <f t="shared" si="37"/>
        <v>3341</v>
      </c>
      <c r="T57" s="47">
        <v>39.8</v>
      </c>
      <c r="U57" s="70">
        <f>MIN(ROUNDUP(IF('Manual Data'!E56=1,IF(A57='Manual Data'!N56,ROUND(U56*103%-0.01,0),U56),'Manual Data'!E56),-1),NBPH1)</f>
        <v>42890</v>
      </c>
      <c r="V57" s="70">
        <f>MIN(ROUNDUP(IF('Manual Data'!H56=1,IF(A57='Manual Data'!N56,ROUND(V56*103%-0.01,0),V56),'Manual Data'!H56),-1),HPS)</f>
        <v>45280</v>
      </c>
      <c r="W57" s="70">
        <f>MIN(IF('Manual Data'!E55=1,IF(A57=$E$5,W56+INC1,W56),'Manual Data'!E55),OBPH1)</f>
        <v>18250</v>
      </c>
      <c r="X57" s="46">
        <f t="shared" si="42"/>
        <v>1</v>
      </c>
      <c r="Y57" s="46">
        <f t="shared" si="27"/>
        <v>0</v>
      </c>
      <c r="Z57" s="46">
        <f t="shared" si="43"/>
        <v>0</v>
      </c>
      <c r="AA57" s="46">
        <f t="shared" si="44"/>
        <v>0</v>
      </c>
      <c r="AB57" s="46">
        <f t="shared" si="45"/>
        <v>0</v>
      </c>
      <c r="AC57" s="46">
        <f t="shared" si="46"/>
        <v>3341</v>
      </c>
      <c r="AZ57" s="154">
        <v>62</v>
      </c>
      <c r="BA57" s="154">
        <v>8.093</v>
      </c>
    </row>
    <row r="58" spans="1:53" ht="12" customHeight="1">
      <c r="A58" s="9" t="s">
        <v>10</v>
      </c>
      <c r="B58" s="53" t="s">
        <v>95</v>
      </c>
      <c r="C58" s="14">
        <f t="shared" si="38"/>
        <v>42890</v>
      </c>
      <c r="D58" s="15">
        <f t="shared" si="47"/>
        <v>17070</v>
      </c>
      <c r="E58" s="15">
        <f>IF(X58=1,IF($E$7="No",ROUND(IF('Manual Data'!I57=1%,C58*$N$5,C58*'Manual Data'!I57),0),0),0)</f>
        <v>8578</v>
      </c>
      <c r="F58" s="15">
        <f>IF(X58=1,IF(C58=0,0,IF($F$7="Yes",IF('Manual Data'!G57=1,IF(OR($E$6="A",$E$6="A-1"),IF(OR($F$6="E1A",$F$6="E2A"),800,1400),IF(NOT(OR($F$6="E1A",$F$6="E2A")),800,500)),'Manual Data'!G57),0)),0)</f>
        <v>1400</v>
      </c>
      <c r="G58" s="15">
        <v>0</v>
      </c>
      <c r="H58" s="15">
        <f t="shared" si="39"/>
        <v>858</v>
      </c>
      <c r="I58" s="15"/>
      <c r="J58" s="16">
        <f t="shared" si="40"/>
        <v>70796</v>
      </c>
      <c r="K58" s="14">
        <f t="shared" si="41"/>
        <v>45280</v>
      </c>
      <c r="L58" s="15">
        <f t="shared" si="48"/>
        <v>18021</v>
      </c>
      <c r="M58" s="15">
        <f>IF(X58=1,IF($E$7="No",ROUND(IF('Manual Data'!I57=1%,C58*$N$5,C58*'Manual Data'!I57),0),0),0)</f>
        <v>8578</v>
      </c>
      <c r="N58" s="15">
        <f t="shared" si="32"/>
        <v>1400</v>
      </c>
      <c r="O58" s="15">
        <f t="shared" si="33"/>
        <v>0</v>
      </c>
      <c r="P58" s="15">
        <f t="shared" si="34"/>
        <v>858</v>
      </c>
      <c r="Q58" s="15">
        <f t="shared" si="35"/>
        <v>0</v>
      </c>
      <c r="R58" s="14">
        <f t="shared" si="36"/>
        <v>74137</v>
      </c>
      <c r="S58" s="14">
        <f t="shared" si="37"/>
        <v>3341</v>
      </c>
      <c r="T58" s="47">
        <v>39.8</v>
      </c>
      <c r="U58" s="70">
        <f>MIN(ROUNDUP(IF('Manual Data'!E57=1,IF(A58='Manual Data'!N57,ROUND(U57*103%-0.01,0),U57),'Manual Data'!E57),-1),NBPH1)</f>
        <v>42890</v>
      </c>
      <c r="V58" s="70">
        <f>MIN(ROUNDUP(IF('Manual Data'!H57=1,IF(A58='Manual Data'!N57,ROUND(V57*103%-0.01,0),V57),'Manual Data'!H57),-1),HPS)</f>
        <v>45280</v>
      </c>
      <c r="W58" s="70">
        <f>MIN(IF('Manual Data'!E56=1,IF(A58=$E$5,W57+INC1,W57),'Manual Data'!E56),OBPH1)</f>
        <v>18250</v>
      </c>
      <c r="X58" s="46">
        <f t="shared" si="42"/>
        <v>1</v>
      </c>
      <c r="Y58" s="46">
        <f t="shared" si="27"/>
        <v>0</v>
      </c>
      <c r="Z58" s="46">
        <f t="shared" si="43"/>
        <v>0</v>
      </c>
      <c r="AA58" s="46">
        <f t="shared" si="44"/>
        <v>0</v>
      </c>
      <c r="AB58" s="46">
        <f t="shared" si="45"/>
        <v>0</v>
      </c>
      <c r="AC58" s="46">
        <f t="shared" si="46"/>
        <v>3341</v>
      </c>
      <c r="AZ58" s="154">
        <v>63</v>
      </c>
      <c r="BA58" s="154">
        <v>7.982</v>
      </c>
    </row>
    <row r="59" spans="1:53" ht="12" customHeight="1">
      <c r="A59" s="9" t="s">
        <v>11</v>
      </c>
      <c r="B59" s="53" t="s">
        <v>95</v>
      </c>
      <c r="C59" s="14">
        <f t="shared" si="38"/>
        <v>42890</v>
      </c>
      <c r="D59" s="15">
        <f t="shared" si="47"/>
        <v>17070</v>
      </c>
      <c r="E59" s="15">
        <f>IF(X59=1,IF($E$7="No",ROUND(IF('Manual Data'!I58=1%,C59*$N$5,C59*'Manual Data'!I58),0),0),0)</f>
        <v>8578</v>
      </c>
      <c r="F59" s="15">
        <f>IF(X59=1,IF(C59=0,0,IF($F$7="Yes",IF('Manual Data'!G58=1,IF(OR($E$6="A",$E$6="A-1"),IF(OR($F$6="E1A",$F$6="E2A"),800,1400),IF(NOT(OR($F$6="E1A",$F$6="E2A")),800,500)),'Manual Data'!G58),0)),0)</f>
        <v>1400</v>
      </c>
      <c r="G59" s="15">
        <v>0</v>
      </c>
      <c r="H59" s="15">
        <f t="shared" si="39"/>
        <v>858</v>
      </c>
      <c r="I59" s="15"/>
      <c r="J59" s="16">
        <f t="shared" si="40"/>
        <v>70796</v>
      </c>
      <c r="K59" s="14">
        <f t="shared" si="41"/>
        <v>45280</v>
      </c>
      <c r="L59" s="15">
        <f t="shared" si="48"/>
        <v>18021</v>
      </c>
      <c r="M59" s="15">
        <f>IF(X59=1,IF($E$7="No",ROUND(IF('Manual Data'!I58=1%,C59*$N$5,C59*'Manual Data'!I58),0),0),0)</f>
        <v>8578</v>
      </c>
      <c r="N59" s="15">
        <f t="shared" si="32"/>
        <v>1400</v>
      </c>
      <c r="O59" s="15">
        <f t="shared" si="33"/>
        <v>0</v>
      </c>
      <c r="P59" s="15">
        <f t="shared" si="34"/>
        <v>858</v>
      </c>
      <c r="Q59" s="15">
        <f t="shared" si="35"/>
        <v>0</v>
      </c>
      <c r="R59" s="14">
        <f t="shared" si="36"/>
        <v>74137</v>
      </c>
      <c r="S59" s="14">
        <f t="shared" si="37"/>
        <v>3341</v>
      </c>
      <c r="T59" s="47">
        <v>39.8</v>
      </c>
      <c r="U59" s="70">
        <f>MIN(ROUNDUP(IF('Manual Data'!E58=1,IF(A59='Manual Data'!N58,ROUND(U58*103%-0.01,0),U58),'Manual Data'!E58),-1),NBPH1)</f>
        <v>42890</v>
      </c>
      <c r="V59" s="70">
        <f>MIN(ROUNDUP(IF('Manual Data'!H58=1,IF(A59='Manual Data'!N58,ROUND(V58*103%-0.01,0),V58),'Manual Data'!H58),-1),HPS)</f>
        <v>45280</v>
      </c>
      <c r="W59" s="70">
        <f>MIN(IF('Manual Data'!E57=1,IF(A59=$E$5,W58+INC1,W58),'Manual Data'!E57),OBPH1)</f>
        <v>18250</v>
      </c>
      <c r="X59" s="46">
        <f t="shared" si="42"/>
        <v>1</v>
      </c>
      <c r="Y59" s="46">
        <f t="shared" si="27"/>
        <v>0</v>
      </c>
      <c r="Z59" s="46">
        <f t="shared" si="43"/>
        <v>0</v>
      </c>
      <c r="AA59" s="46">
        <f t="shared" si="44"/>
        <v>0</v>
      </c>
      <c r="AB59" s="46">
        <f t="shared" si="45"/>
        <v>0</v>
      </c>
      <c r="AC59" s="46">
        <f t="shared" si="46"/>
        <v>3341</v>
      </c>
      <c r="AZ59" s="154">
        <v>64</v>
      </c>
      <c r="BA59" s="154">
        <v>7.862</v>
      </c>
    </row>
    <row r="60" spans="1:53" ht="12" customHeight="1">
      <c r="A60" s="9" t="s">
        <v>12</v>
      </c>
      <c r="B60" s="53" t="s">
        <v>96</v>
      </c>
      <c r="C60" s="14">
        <f t="shared" si="38"/>
        <v>42890</v>
      </c>
      <c r="D60" s="15">
        <f t="shared" si="47"/>
        <v>18443</v>
      </c>
      <c r="E60" s="15">
        <f>IF(X60=1,IF($E$7="No",ROUND(IF('Manual Data'!I59=1%,C60*$N$5,C60*'Manual Data'!I59),0),0),0)</f>
        <v>8578</v>
      </c>
      <c r="F60" s="15">
        <f>IF(X60=1,IF(C60=0,0,IF($F$7="Yes",IF('Manual Data'!G59=1,IF(OR($E$6="A",$E$6="A-1"),IF(OR($F$6="E1A",$F$6="E2A"),800,1400),IF(NOT(OR($F$6="E1A",$F$6="E2A")),800,500)),'Manual Data'!G59),0)),0)</f>
        <v>1400</v>
      </c>
      <c r="G60" s="15">
        <v>0</v>
      </c>
      <c r="H60" s="15">
        <f t="shared" si="39"/>
        <v>858</v>
      </c>
      <c r="I60" s="15"/>
      <c r="J60" s="16">
        <f t="shared" si="40"/>
        <v>72169</v>
      </c>
      <c r="K60" s="14">
        <f t="shared" si="41"/>
        <v>45280</v>
      </c>
      <c r="L60" s="15">
        <f t="shared" si="48"/>
        <v>19470</v>
      </c>
      <c r="M60" s="15">
        <f>IF(X60=1,IF($E$7="No",ROUND(IF('Manual Data'!I59=1%,C60*$N$5,C60*'Manual Data'!I59),0),0),0)</f>
        <v>8578</v>
      </c>
      <c r="N60" s="15">
        <f t="shared" si="32"/>
        <v>1400</v>
      </c>
      <c r="O60" s="15">
        <f t="shared" si="33"/>
        <v>0</v>
      </c>
      <c r="P60" s="15">
        <f t="shared" si="34"/>
        <v>858</v>
      </c>
      <c r="Q60" s="15">
        <f t="shared" si="35"/>
        <v>0</v>
      </c>
      <c r="R60" s="14">
        <f t="shared" si="36"/>
        <v>75586</v>
      </c>
      <c r="S60" s="14">
        <f t="shared" si="37"/>
        <v>3417</v>
      </c>
      <c r="T60" s="47">
        <v>43</v>
      </c>
      <c r="U60" s="70">
        <f>MIN(ROUNDUP(IF('Manual Data'!E59=1,IF(A60='Manual Data'!N59,ROUND(U59*103%-0.01,0),U59),'Manual Data'!E59),-1),NBPH1)</f>
        <v>42890</v>
      </c>
      <c r="V60" s="70">
        <f>MIN(ROUNDUP(IF('Manual Data'!H59=1,IF(A60='Manual Data'!N59,ROUND(V59*103%-0.01,0),V59),'Manual Data'!H59),-1),HPS)</f>
        <v>45280</v>
      </c>
      <c r="W60" s="70">
        <f>MIN(IF('Manual Data'!E58=1,IF(A60=$E$5,W59+INC1,W59),'Manual Data'!E58),OBPH1)</f>
        <v>18250</v>
      </c>
      <c r="X60" s="46">
        <f t="shared" si="42"/>
        <v>1</v>
      </c>
      <c r="Y60" s="46">
        <f t="shared" si="27"/>
        <v>0</v>
      </c>
      <c r="Z60" s="46">
        <f t="shared" si="43"/>
        <v>0</v>
      </c>
      <c r="AA60" s="46">
        <f t="shared" si="44"/>
        <v>0</v>
      </c>
      <c r="AB60" s="46">
        <f t="shared" si="45"/>
        <v>0</v>
      </c>
      <c r="AC60" s="46">
        <f t="shared" si="46"/>
        <v>3417</v>
      </c>
      <c r="AZ60" s="154">
        <v>65</v>
      </c>
      <c r="BA60" s="154">
        <v>7.731</v>
      </c>
    </row>
    <row r="61" spans="1:53" ht="12" customHeight="1">
      <c r="A61" s="9" t="s">
        <v>13</v>
      </c>
      <c r="B61" s="53" t="s">
        <v>96</v>
      </c>
      <c r="C61" s="14">
        <f t="shared" si="38"/>
        <v>42890</v>
      </c>
      <c r="D61" s="15">
        <f t="shared" si="47"/>
        <v>18443</v>
      </c>
      <c r="E61" s="15">
        <f>IF(X61=1,IF($E$7="No",ROUND(IF('Manual Data'!I60=1%,C61*$N$5,C61*'Manual Data'!I60),0),0),0)</f>
        <v>8578</v>
      </c>
      <c r="F61" s="15">
        <f>IF(X61=1,IF(C61=0,0,IF($F$7="Yes",IF('Manual Data'!G60=1,IF(OR($E$6="A",$E$6="A-1"),IF(OR($F$6="E1A",$F$6="E2A"),800,1400),IF(NOT(OR($F$6="E1A",$F$6="E2A")),800,500)),'Manual Data'!G60),0)),0)</f>
        <v>1400</v>
      </c>
      <c r="G61" s="15">
        <v>0</v>
      </c>
      <c r="H61" s="15">
        <f t="shared" si="39"/>
        <v>858</v>
      </c>
      <c r="I61" s="15"/>
      <c r="J61" s="16">
        <f t="shared" si="40"/>
        <v>72169</v>
      </c>
      <c r="K61" s="14">
        <f t="shared" si="41"/>
        <v>45280</v>
      </c>
      <c r="L61" s="15">
        <f t="shared" si="48"/>
        <v>19470</v>
      </c>
      <c r="M61" s="15">
        <f>IF(X61=1,IF($E$7="No",ROUND(IF('Manual Data'!I60=1%,C61*$N$5,C61*'Manual Data'!I60),0),0),0)</f>
        <v>8578</v>
      </c>
      <c r="N61" s="15">
        <f t="shared" si="32"/>
        <v>1400</v>
      </c>
      <c r="O61" s="15">
        <f t="shared" si="33"/>
        <v>0</v>
      </c>
      <c r="P61" s="15">
        <f t="shared" si="34"/>
        <v>858</v>
      </c>
      <c r="Q61" s="15">
        <f t="shared" si="35"/>
        <v>0</v>
      </c>
      <c r="R61" s="14">
        <f t="shared" si="36"/>
        <v>75586</v>
      </c>
      <c r="S61" s="14">
        <f t="shared" si="37"/>
        <v>3417</v>
      </c>
      <c r="T61" s="47">
        <v>43</v>
      </c>
      <c r="U61" s="70">
        <f>MIN(ROUNDUP(IF('Manual Data'!E60=1,IF(A61='Manual Data'!N60,ROUND(U60*103%-0.01,0),U60),'Manual Data'!E60),-1),NBPH1)</f>
        <v>42890</v>
      </c>
      <c r="V61" s="70">
        <f>MIN(ROUNDUP(IF('Manual Data'!H60=1,IF(A61='Manual Data'!N60,ROUND(V60*103%-0.01,0),V60),'Manual Data'!H60),-1),HPS)</f>
        <v>45280</v>
      </c>
      <c r="W61" s="70">
        <f>MIN(IF('Manual Data'!E59=1,IF(A61=$E$5,W60+INC1,W60),'Manual Data'!E59),OBPH1)</f>
        <v>18250</v>
      </c>
      <c r="X61" s="46">
        <f t="shared" si="42"/>
        <v>1</v>
      </c>
      <c r="Y61" s="46">
        <f t="shared" si="27"/>
        <v>0</v>
      </c>
      <c r="Z61" s="46">
        <f t="shared" si="43"/>
        <v>0</v>
      </c>
      <c r="AA61" s="46">
        <f t="shared" si="44"/>
        <v>0</v>
      </c>
      <c r="AB61" s="46">
        <f t="shared" si="45"/>
        <v>0</v>
      </c>
      <c r="AC61" s="46">
        <f t="shared" si="46"/>
        <v>3417</v>
      </c>
      <c r="AZ61" s="154">
        <v>66</v>
      </c>
      <c r="BA61" s="154">
        <v>7.591</v>
      </c>
    </row>
    <row r="62" spans="1:53" ht="12" customHeight="1">
      <c r="A62" s="9" t="s">
        <v>14</v>
      </c>
      <c r="B62" s="53" t="s">
        <v>96</v>
      </c>
      <c r="C62" s="14">
        <f t="shared" si="38"/>
        <v>44180</v>
      </c>
      <c r="D62" s="15">
        <f t="shared" si="47"/>
        <v>18997</v>
      </c>
      <c r="E62" s="15">
        <f>IF(X62=1,IF($E$7="No",ROUND(IF('Manual Data'!I61=1%,C62*$N$5,C62*'Manual Data'!I61),0),0),0)</f>
        <v>8836</v>
      </c>
      <c r="F62" s="15">
        <f>IF(X62=1,IF(C62=0,0,IF($F$7="Yes",IF('Manual Data'!G61=1,IF(OR($E$6="A",$E$6="A-1"),IF(OR($F$6="E1A",$F$6="E2A"),800,1400),IF(NOT(OR($F$6="E1A",$F$6="E2A")),800,500)),'Manual Data'!G61),0)),0)</f>
        <v>1400</v>
      </c>
      <c r="G62" s="15">
        <v>0</v>
      </c>
      <c r="H62" s="15">
        <f t="shared" si="39"/>
        <v>884</v>
      </c>
      <c r="I62" s="15"/>
      <c r="J62" s="16">
        <f t="shared" si="40"/>
        <v>74297</v>
      </c>
      <c r="K62" s="14">
        <f t="shared" si="41"/>
        <v>46640</v>
      </c>
      <c r="L62" s="15">
        <f t="shared" si="48"/>
        <v>20055</v>
      </c>
      <c r="M62" s="15">
        <f>IF(X62=1,IF($E$7="No",ROUND(IF('Manual Data'!I61=1%,C62*$N$5,C62*'Manual Data'!I61),0),0),0)</f>
        <v>8836</v>
      </c>
      <c r="N62" s="15">
        <f t="shared" si="32"/>
        <v>1400</v>
      </c>
      <c r="O62" s="15">
        <f t="shared" si="33"/>
        <v>0</v>
      </c>
      <c r="P62" s="15">
        <f t="shared" si="34"/>
        <v>884</v>
      </c>
      <c r="Q62" s="15">
        <f t="shared" si="35"/>
        <v>0</v>
      </c>
      <c r="R62" s="14">
        <f t="shared" si="36"/>
        <v>77815</v>
      </c>
      <c r="S62" s="14">
        <f t="shared" si="37"/>
        <v>3518</v>
      </c>
      <c r="T62" s="47">
        <v>43</v>
      </c>
      <c r="U62" s="70">
        <f>MIN(ROUNDUP(IF('Manual Data'!E61=1,IF(A62='Manual Data'!N61,ROUND(U61*103%-0.01,0),U61),'Manual Data'!E61),-1),NBPH1)</f>
        <v>44180</v>
      </c>
      <c r="V62" s="70">
        <f>MIN(ROUNDUP(IF('Manual Data'!H61=1,IF(A62='Manual Data'!N61,ROUND(V61*103%-0.01,0),V61),'Manual Data'!H61),-1),HPS)</f>
        <v>46640</v>
      </c>
      <c r="W62" s="70">
        <f>MIN(IF('Manual Data'!E60=1,IF(A62=$E$5,W61+INC1,W61),'Manual Data'!E60),OBPH1)</f>
        <v>18250</v>
      </c>
      <c r="X62" s="46">
        <f t="shared" si="42"/>
        <v>1</v>
      </c>
      <c r="Y62" s="46">
        <f t="shared" si="27"/>
        <v>0</v>
      </c>
      <c r="Z62" s="46">
        <f t="shared" si="43"/>
        <v>0</v>
      </c>
      <c r="AA62" s="46">
        <f t="shared" si="44"/>
        <v>0</v>
      </c>
      <c r="AB62" s="46">
        <f t="shared" si="45"/>
        <v>0</v>
      </c>
      <c r="AC62" s="46">
        <f t="shared" si="46"/>
        <v>3518</v>
      </c>
      <c r="AZ62" s="154">
        <v>66</v>
      </c>
      <c r="BA62" s="154">
        <v>7.431</v>
      </c>
    </row>
    <row r="63" spans="1:53" ht="12" customHeight="1">
      <c r="A63" s="9" t="s">
        <v>15</v>
      </c>
      <c r="B63" s="53" t="s">
        <v>96</v>
      </c>
      <c r="C63" s="14">
        <f t="shared" si="38"/>
        <v>44180</v>
      </c>
      <c r="D63" s="15">
        <f t="shared" si="47"/>
        <v>20853</v>
      </c>
      <c r="E63" s="15">
        <f>IF(X63=1,IF($E$7="No",ROUND(IF('Manual Data'!I62=1%,C63*$N$5,C63*'Manual Data'!I62),0),0),0)</f>
        <v>8836</v>
      </c>
      <c r="F63" s="15">
        <f>IF(X63=1,IF(C63=0,0,IF($F$7="Yes",IF('Manual Data'!G62=1,IF(OR($E$6="A",$E$6="A-1"),IF(OR($F$6="E1A",$F$6="E2A"),800,1400),IF(NOT(OR($F$6="E1A",$F$6="E2A")),800,500)),'Manual Data'!G62),0)),0)</f>
        <v>1400</v>
      </c>
      <c r="G63" s="15">
        <v>0</v>
      </c>
      <c r="H63" s="15">
        <f t="shared" si="39"/>
        <v>884</v>
      </c>
      <c r="I63" s="15"/>
      <c r="J63" s="16">
        <f t="shared" si="40"/>
        <v>76153</v>
      </c>
      <c r="K63" s="14">
        <f t="shared" si="41"/>
        <v>46640</v>
      </c>
      <c r="L63" s="15">
        <f t="shared" si="48"/>
        <v>22014</v>
      </c>
      <c r="M63" s="15">
        <f>IF(X63=1,IF($E$7="No",ROUND(IF('Manual Data'!I62=1%,C63*$N$5,C63*'Manual Data'!I62),0),0),0)</f>
        <v>8836</v>
      </c>
      <c r="N63" s="15">
        <f t="shared" si="32"/>
        <v>1400</v>
      </c>
      <c r="O63" s="15">
        <f t="shared" si="33"/>
        <v>0</v>
      </c>
      <c r="P63" s="15">
        <f t="shared" si="34"/>
        <v>884</v>
      </c>
      <c r="Q63" s="15">
        <f t="shared" si="35"/>
        <v>0</v>
      </c>
      <c r="R63" s="14">
        <f t="shared" si="36"/>
        <v>79774</v>
      </c>
      <c r="S63" s="14">
        <f t="shared" si="37"/>
        <v>3621</v>
      </c>
      <c r="T63" s="47">
        <v>47.2</v>
      </c>
      <c r="U63" s="70">
        <f>MIN(ROUNDUP(IF('Manual Data'!E62=1,IF(A63='Manual Data'!N62,ROUND(U62*103%-0.01,0),U62),'Manual Data'!E62),-1),NBPH1)</f>
        <v>44180</v>
      </c>
      <c r="V63" s="70">
        <f>MIN(ROUNDUP(IF('Manual Data'!H62=1,IF(A63='Manual Data'!N62,ROUND(V62*103%-0.01,0),V62),'Manual Data'!H62),-1),HPS)</f>
        <v>46640</v>
      </c>
      <c r="W63" s="70">
        <f>MIN(IF('Manual Data'!E61=1,IF(A63=$E$5,W62+INC1,W62),'Manual Data'!E61),OBPH1)</f>
        <v>18250</v>
      </c>
      <c r="X63" s="46">
        <f t="shared" si="42"/>
        <v>1</v>
      </c>
      <c r="Y63" s="46">
        <f t="shared" si="27"/>
        <v>0</v>
      </c>
      <c r="Z63" s="46">
        <f t="shared" si="43"/>
        <v>0</v>
      </c>
      <c r="AA63" s="46">
        <f t="shared" si="44"/>
        <v>0</v>
      </c>
      <c r="AB63" s="46">
        <f t="shared" si="45"/>
        <v>0</v>
      </c>
      <c r="AC63" s="46">
        <f t="shared" si="46"/>
        <v>3621</v>
      </c>
      <c r="AZ63" s="154">
        <v>68</v>
      </c>
      <c r="BA63" s="154">
        <v>7.262</v>
      </c>
    </row>
    <row r="64" spans="1:53" ht="12" customHeight="1">
      <c r="A64" s="9" t="s">
        <v>16</v>
      </c>
      <c r="B64" s="53" t="s">
        <v>96</v>
      </c>
      <c r="C64" s="14">
        <f t="shared" si="38"/>
        <v>44180</v>
      </c>
      <c r="D64" s="15">
        <f t="shared" si="47"/>
        <v>20853</v>
      </c>
      <c r="E64" s="15">
        <f>IF(X64=1,IF($E$7="No",ROUND(IF('Manual Data'!I63=1%,C64*$N$5,C64*'Manual Data'!I63),0),0),0)</f>
        <v>8836</v>
      </c>
      <c r="F64" s="15">
        <f>IF(X64=1,IF(C64=0,0,IF($F$7="Yes",IF('Manual Data'!G63=1,IF(OR($E$6="A",$E$6="A-1"),IF(OR($F$6="E1A",$F$6="E2A"),800,1400),IF(NOT(OR($F$6="E1A",$F$6="E2A")),800,500)),'Manual Data'!G63),0)),0)</f>
        <v>1400</v>
      </c>
      <c r="G64" s="15">
        <v>0</v>
      </c>
      <c r="H64" s="15">
        <f t="shared" si="39"/>
        <v>884</v>
      </c>
      <c r="I64" s="15"/>
      <c r="J64" s="16">
        <f t="shared" si="40"/>
        <v>76153</v>
      </c>
      <c r="K64" s="14">
        <f t="shared" si="41"/>
        <v>46640</v>
      </c>
      <c r="L64" s="15">
        <f t="shared" si="48"/>
        <v>22014</v>
      </c>
      <c r="M64" s="15">
        <f>IF(X64=1,IF($E$7="No",ROUND(IF('Manual Data'!I63=1%,C64*$N$5,C64*'Manual Data'!I63),0),0),0)</f>
        <v>8836</v>
      </c>
      <c r="N64" s="15">
        <f t="shared" si="32"/>
        <v>1400</v>
      </c>
      <c r="O64" s="15">
        <f t="shared" si="33"/>
        <v>0</v>
      </c>
      <c r="P64" s="15">
        <f t="shared" si="34"/>
        <v>884</v>
      </c>
      <c r="Q64" s="15">
        <f t="shared" si="35"/>
        <v>0</v>
      </c>
      <c r="R64" s="14">
        <f t="shared" si="36"/>
        <v>79774</v>
      </c>
      <c r="S64" s="14">
        <f t="shared" si="37"/>
        <v>3621</v>
      </c>
      <c r="T64" s="47">
        <v>47.2</v>
      </c>
      <c r="U64" s="70">
        <f>MIN(ROUNDUP(IF('Manual Data'!E63=1,IF(A64='Manual Data'!N63,ROUND(U63*103%-0.01,0),U63),'Manual Data'!E63),-1),NBPH1)</f>
        <v>44180</v>
      </c>
      <c r="V64" s="70">
        <f>MIN(ROUNDUP(IF('Manual Data'!H63=1,IF(A64='Manual Data'!N63,ROUND(V63*103%-0.01,0),V63),'Manual Data'!H63),-1),HPS)</f>
        <v>46640</v>
      </c>
      <c r="W64" s="70">
        <f>MIN(IF('Manual Data'!E62=1,IF(A64=$E$5,W63+INC1,W63),'Manual Data'!E62),OBPH1)</f>
        <v>18250</v>
      </c>
      <c r="X64" s="46">
        <f t="shared" si="42"/>
        <v>1</v>
      </c>
      <c r="Y64" s="46">
        <f aca="true" t="shared" si="49" ref="Y64:Y89">IF(X63=X64,0,1)</f>
        <v>0</v>
      </c>
      <c r="Z64" s="46">
        <f t="shared" si="43"/>
        <v>0</v>
      </c>
      <c r="AA64" s="46">
        <f t="shared" si="44"/>
        <v>0</v>
      </c>
      <c r="AB64" s="46">
        <f t="shared" si="45"/>
        <v>0</v>
      </c>
      <c r="AC64" s="46">
        <f t="shared" si="46"/>
        <v>3621</v>
      </c>
      <c r="AZ64" s="154">
        <v>69</v>
      </c>
      <c r="BA64" s="154">
        <v>7.083</v>
      </c>
    </row>
    <row r="65" spans="1:53" ht="12" customHeight="1">
      <c r="A65" s="9" t="s">
        <v>17</v>
      </c>
      <c r="B65" s="53" t="s">
        <v>96</v>
      </c>
      <c r="C65" s="14">
        <f t="shared" si="38"/>
        <v>44180</v>
      </c>
      <c r="D65" s="15">
        <f t="shared" si="47"/>
        <v>20853</v>
      </c>
      <c r="E65" s="15">
        <f>IF(X65=1,IF($E$7="No",ROUND(IF('Manual Data'!I64=1%,C65*$N$5,C65*'Manual Data'!I64),0),0),0)</f>
        <v>8836</v>
      </c>
      <c r="F65" s="15">
        <f>IF(X65=1,IF(C65=0,0,IF($F$7="Yes",IF('Manual Data'!G64=1,IF(OR($E$6="A",$E$6="A-1"),IF(OR($F$6="E1A",$F$6="E2A"),800,1400),IF(NOT(OR($F$6="E1A",$F$6="E2A")),800,500)),'Manual Data'!G64),0)),0)</f>
        <v>1400</v>
      </c>
      <c r="G65" s="15">
        <v>0</v>
      </c>
      <c r="H65" s="15">
        <f t="shared" si="39"/>
        <v>884</v>
      </c>
      <c r="I65" s="15"/>
      <c r="J65" s="16">
        <f t="shared" si="40"/>
        <v>76153</v>
      </c>
      <c r="K65" s="14">
        <f t="shared" si="41"/>
        <v>46640</v>
      </c>
      <c r="L65" s="15">
        <f t="shared" si="48"/>
        <v>22014</v>
      </c>
      <c r="M65" s="15">
        <f>IF(X65=1,IF($E$7="No",ROUND(IF('Manual Data'!I64=1%,C65*$N$5,C65*'Manual Data'!I64),0),0),0)</f>
        <v>8836</v>
      </c>
      <c r="N65" s="15">
        <f t="shared" si="32"/>
        <v>1400</v>
      </c>
      <c r="O65" s="15">
        <f t="shared" si="33"/>
        <v>0</v>
      </c>
      <c r="P65" s="15">
        <f t="shared" si="34"/>
        <v>884</v>
      </c>
      <c r="Q65" s="15">
        <f t="shared" si="35"/>
        <v>0</v>
      </c>
      <c r="R65" s="14">
        <f t="shared" si="36"/>
        <v>79774</v>
      </c>
      <c r="S65" s="14">
        <f t="shared" si="37"/>
        <v>3621</v>
      </c>
      <c r="T65" s="47">
        <v>47.2</v>
      </c>
      <c r="U65" s="70">
        <f>MIN(ROUNDUP(IF('Manual Data'!E64=1,IF(A65='Manual Data'!N64,ROUND(U64*103%-0.01,0),U64),'Manual Data'!E64),-1),NBPH1)</f>
        <v>44180</v>
      </c>
      <c r="V65" s="70">
        <f>MIN(ROUNDUP(IF('Manual Data'!H64=1,IF(A65='Manual Data'!N64,ROUND(V64*103%-0.01,0),V64),'Manual Data'!H64),-1),HPS)</f>
        <v>46640</v>
      </c>
      <c r="W65" s="70">
        <f>MIN(IF('Manual Data'!E63=1,IF(A65=$E$5,W64+INC1,W64),'Manual Data'!E63),OBPH1)</f>
        <v>18250</v>
      </c>
      <c r="X65" s="46">
        <f t="shared" si="42"/>
        <v>1</v>
      </c>
      <c r="Y65" s="46">
        <f t="shared" si="49"/>
        <v>0</v>
      </c>
      <c r="Z65" s="46">
        <f t="shared" si="43"/>
        <v>0</v>
      </c>
      <c r="AA65" s="46">
        <f t="shared" si="44"/>
        <v>0</v>
      </c>
      <c r="AB65" s="46">
        <f t="shared" si="45"/>
        <v>0</v>
      </c>
      <c r="AC65" s="46">
        <f t="shared" si="46"/>
        <v>3621</v>
      </c>
      <c r="AZ65" s="154">
        <v>70</v>
      </c>
      <c r="BA65" s="154">
        <v>6.897</v>
      </c>
    </row>
    <row r="66" spans="1:53" ht="12" customHeight="1">
      <c r="A66" s="9" t="s">
        <v>18</v>
      </c>
      <c r="B66" s="53" t="s">
        <v>96</v>
      </c>
      <c r="C66" s="14">
        <f t="shared" si="38"/>
        <v>44180</v>
      </c>
      <c r="D66" s="15">
        <f t="shared" si="47"/>
        <v>20853</v>
      </c>
      <c r="E66" s="15">
        <f>IF(X66=1,IF($E$7="No",ROUND(IF('Manual Data'!I65=1%,C66*$N$5,C66*'Manual Data'!I65),0),0),0)</f>
        <v>8836</v>
      </c>
      <c r="F66" s="15">
        <f>IF(X66=1,IF(C66=0,0,IF($F$7="Yes",IF('Manual Data'!G65=1,IF(OR($E$6="A",$E$6="A-1"),IF(OR($F$6="E1A",$F$6="E2A"),800,1400),IF(NOT(OR($F$6="E1A",$F$6="E2A")),800,500)),'Manual Data'!G65),0)),0)</f>
        <v>1400</v>
      </c>
      <c r="G66" s="15">
        <v>0</v>
      </c>
      <c r="H66" s="15">
        <f t="shared" si="39"/>
        <v>884</v>
      </c>
      <c r="I66" s="15"/>
      <c r="J66" s="16">
        <f t="shared" si="40"/>
        <v>76153</v>
      </c>
      <c r="K66" s="14">
        <f t="shared" si="41"/>
        <v>46640</v>
      </c>
      <c r="L66" s="15">
        <f t="shared" si="48"/>
        <v>22014</v>
      </c>
      <c r="M66" s="15">
        <f>IF(X66=1,IF($E$7="No",ROUND(IF('Manual Data'!I65=1%,C66*$N$5,C66*'Manual Data'!I65),0),0),0)</f>
        <v>8836</v>
      </c>
      <c r="N66" s="15">
        <f t="shared" si="32"/>
        <v>1400</v>
      </c>
      <c r="O66" s="15">
        <f t="shared" si="33"/>
        <v>0</v>
      </c>
      <c r="P66" s="15">
        <f t="shared" si="34"/>
        <v>884</v>
      </c>
      <c r="Q66" s="15">
        <f t="shared" si="35"/>
        <v>0</v>
      </c>
      <c r="R66" s="14">
        <f t="shared" si="36"/>
        <v>79774</v>
      </c>
      <c r="S66" s="14">
        <f t="shared" si="37"/>
        <v>3621</v>
      </c>
      <c r="T66" s="47">
        <v>47.2</v>
      </c>
      <c r="U66" s="70">
        <f>MIN(ROUNDUP(IF('Manual Data'!E65=1,IF(A66='Manual Data'!N65,ROUND(U65*103%-0.01,0),U65),'Manual Data'!E65),-1),NBPH1)</f>
        <v>44180</v>
      </c>
      <c r="V66" s="70">
        <f>MIN(ROUNDUP(IF('Manual Data'!H65=1,IF(A66='Manual Data'!N65,ROUND(V65*103%-0.01,0),V65),'Manual Data'!H65),-1),HPS)</f>
        <v>46640</v>
      </c>
      <c r="W66" s="70">
        <f>MIN(IF('Manual Data'!E64=1,IF(A66=$E$5,W65+INC1,W65),'Manual Data'!E64),OBPH1)</f>
        <v>18250</v>
      </c>
      <c r="X66" s="46">
        <f t="shared" si="42"/>
        <v>1</v>
      </c>
      <c r="Y66" s="46">
        <f t="shared" si="49"/>
        <v>0</v>
      </c>
      <c r="Z66" s="46">
        <f t="shared" si="43"/>
        <v>0</v>
      </c>
      <c r="AA66" s="46">
        <f t="shared" si="44"/>
        <v>0</v>
      </c>
      <c r="AB66" s="46">
        <f t="shared" si="45"/>
        <v>0</v>
      </c>
      <c r="AC66" s="46">
        <f t="shared" si="46"/>
        <v>3621</v>
      </c>
      <c r="AZ66" s="154">
        <v>71</v>
      </c>
      <c r="BA66" s="154">
        <v>6.703</v>
      </c>
    </row>
    <row r="67" spans="1:53" ht="12" customHeight="1">
      <c r="A67" s="9" t="s">
        <v>19</v>
      </c>
      <c r="B67" s="53" t="s">
        <v>96</v>
      </c>
      <c r="C67" s="14">
        <f t="shared" si="38"/>
        <v>44180</v>
      </c>
      <c r="D67" s="15">
        <f t="shared" si="47"/>
        <v>20853</v>
      </c>
      <c r="E67" s="15">
        <f>IF(X67=1,IF($E$7="No",ROUND(IF('Manual Data'!I66=1%,C67*$N$5,C67*'Manual Data'!I66),0),0),0)</f>
        <v>8836</v>
      </c>
      <c r="F67" s="15">
        <f>IF(X67=1,IF(C67=0,0,IF($F$7="Yes",IF('Manual Data'!G66=1,IF(OR($E$6="A",$E$6="A-1"),IF(OR($F$6="E1A",$F$6="E2A"),800,1400),IF(NOT(OR($F$6="E1A",$F$6="E2A")),800,500)),'Manual Data'!G66),0)),0)</f>
        <v>1400</v>
      </c>
      <c r="G67" s="15">
        <v>0</v>
      </c>
      <c r="H67" s="15">
        <f t="shared" si="39"/>
        <v>884</v>
      </c>
      <c r="I67" s="15"/>
      <c r="J67" s="16">
        <f t="shared" si="40"/>
        <v>76153</v>
      </c>
      <c r="K67" s="14">
        <f t="shared" si="41"/>
        <v>46640</v>
      </c>
      <c r="L67" s="15">
        <f t="shared" si="48"/>
        <v>22014</v>
      </c>
      <c r="M67" s="15">
        <f>IF(X67=1,IF($E$7="No",ROUND(IF('Manual Data'!I66=1%,C67*$N$5,C67*'Manual Data'!I66),0),0),0)</f>
        <v>8836</v>
      </c>
      <c r="N67" s="15">
        <f t="shared" si="32"/>
        <v>1400</v>
      </c>
      <c r="O67" s="15">
        <f t="shared" si="33"/>
        <v>0</v>
      </c>
      <c r="P67" s="15">
        <f t="shared" si="34"/>
        <v>884</v>
      </c>
      <c r="Q67" s="15">
        <f t="shared" si="35"/>
        <v>0</v>
      </c>
      <c r="R67" s="14">
        <f t="shared" si="36"/>
        <v>79774</v>
      </c>
      <c r="S67" s="14">
        <f t="shared" si="37"/>
        <v>3621</v>
      </c>
      <c r="T67" s="47">
        <v>47.2</v>
      </c>
      <c r="U67" s="70">
        <f>MIN(ROUNDUP(IF('Manual Data'!E66=1,IF(A67='Manual Data'!N66,ROUND(U66*103%-0.01,0),U66),'Manual Data'!E66),-1),NBPH1)</f>
        <v>44180</v>
      </c>
      <c r="V67" s="70">
        <f>MIN(ROUNDUP(IF('Manual Data'!H66=1,IF(A67='Manual Data'!N66,ROUND(V66*103%-0.01,0),V66),'Manual Data'!H66),-1),HPS)</f>
        <v>46640</v>
      </c>
      <c r="W67" s="70">
        <f>MIN(IF('Manual Data'!E65=1,IF(A67=$E$5,W66+INC1,W66),'Manual Data'!E65),OBPH1)</f>
        <v>18250</v>
      </c>
      <c r="X67" s="46">
        <f t="shared" si="42"/>
        <v>1</v>
      </c>
      <c r="Y67" s="46">
        <f t="shared" si="49"/>
        <v>0</v>
      </c>
      <c r="Z67" s="46">
        <f t="shared" si="43"/>
        <v>0</v>
      </c>
      <c r="AA67" s="46">
        <f t="shared" si="44"/>
        <v>0</v>
      </c>
      <c r="AB67" s="46">
        <f t="shared" si="45"/>
        <v>0</v>
      </c>
      <c r="AC67" s="46">
        <f t="shared" si="46"/>
        <v>3621</v>
      </c>
      <c r="AZ67" s="154">
        <v>72</v>
      </c>
      <c r="BA67" s="154">
        <v>6.502</v>
      </c>
    </row>
    <row r="68" spans="1:53" ht="12" customHeight="1">
      <c r="A68" s="9" t="s">
        <v>20</v>
      </c>
      <c r="B68" s="53" t="s">
        <v>96</v>
      </c>
      <c r="C68" s="14">
        <f t="shared" si="38"/>
        <v>44180</v>
      </c>
      <c r="D68" s="15">
        <f t="shared" si="47"/>
        <v>20853</v>
      </c>
      <c r="E68" s="15">
        <f>IF(X68=1,IF($E$7="No",ROUND(IF('Manual Data'!I67=1%,C68*$N$5,C68*'Manual Data'!I67),0),0),0)</f>
        <v>8836</v>
      </c>
      <c r="F68" s="15">
        <f>IF(X68=1,IF(C68=0,0,IF($F$7="Yes",IF('Manual Data'!G67=1,IF(OR($E$6="A",$E$6="A-1"),IF(OR($F$6="E1A",$F$6="E2A"),800,1400),IF(NOT(OR($F$6="E1A",$F$6="E2A")),800,500)),'Manual Data'!G67),0)),0)</f>
        <v>1400</v>
      </c>
      <c r="G68" s="15">
        <v>0</v>
      </c>
      <c r="H68" s="15">
        <f t="shared" si="39"/>
        <v>884</v>
      </c>
      <c r="I68" s="15"/>
      <c r="J68" s="16">
        <f t="shared" si="40"/>
        <v>76153</v>
      </c>
      <c r="K68" s="14">
        <f t="shared" si="41"/>
        <v>46640</v>
      </c>
      <c r="L68" s="15">
        <f t="shared" si="48"/>
        <v>22014</v>
      </c>
      <c r="M68" s="15">
        <f>IF(X68=1,IF($E$7="No",ROUND(IF('Manual Data'!I67=1%,C68*$N$5,C68*'Manual Data'!I67),0),0),0)</f>
        <v>8836</v>
      </c>
      <c r="N68" s="15">
        <f t="shared" si="32"/>
        <v>1400</v>
      </c>
      <c r="O68" s="15">
        <f t="shared" si="33"/>
        <v>0</v>
      </c>
      <c r="P68" s="15">
        <f t="shared" si="34"/>
        <v>884</v>
      </c>
      <c r="Q68" s="15">
        <f t="shared" si="35"/>
        <v>0</v>
      </c>
      <c r="R68" s="14">
        <f t="shared" si="36"/>
        <v>79774</v>
      </c>
      <c r="S68" s="14">
        <f t="shared" si="37"/>
        <v>3621</v>
      </c>
      <c r="T68" s="47">
        <v>47.2</v>
      </c>
      <c r="U68" s="70">
        <f>MIN(ROUNDUP(IF('Manual Data'!E67=1,IF(A68='Manual Data'!N67,ROUND(U67*103%-0.01,0),U67),'Manual Data'!E67),-1),NBPH1)</f>
        <v>44180</v>
      </c>
      <c r="V68" s="70">
        <f>MIN(ROUNDUP(IF('Manual Data'!H67=1,IF(A68='Manual Data'!N67,ROUND(V67*103%-0.01,0),V67),'Manual Data'!H67),-1),HPS)</f>
        <v>46640</v>
      </c>
      <c r="W68" s="70">
        <f>MIN(IF('Manual Data'!E66=1,IF(A68=$E$5,W67+INC1,W67),'Manual Data'!E66),OBPH1)</f>
        <v>18250</v>
      </c>
      <c r="X68" s="46">
        <f t="shared" si="42"/>
        <v>1</v>
      </c>
      <c r="Y68" s="46">
        <f t="shared" si="49"/>
        <v>0</v>
      </c>
      <c r="Z68" s="46">
        <f t="shared" si="43"/>
        <v>0</v>
      </c>
      <c r="AA68" s="46">
        <f t="shared" si="44"/>
        <v>0</v>
      </c>
      <c r="AB68" s="46">
        <f t="shared" si="45"/>
        <v>0</v>
      </c>
      <c r="AC68" s="46">
        <f t="shared" si="46"/>
        <v>3621</v>
      </c>
      <c r="AZ68" s="154">
        <v>73</v>
      </c>
      <c r="BA68" s="154">
        <v>6.296</v>
      </c>
    </row>
    <row r="69" spans="1:53" ht="12" customHeight="1">
      <c r="A69" s="9" t="s">
        <v>0</v>
      </c>
      <c r="B69" s="53" t="s">
        <v>96</v>
      </c>
      <c r="C69" s="14">
        <f t="shared" si="38"/>
        <v>45510</v>
      </c>
      <c r="D69" s="15">
        <f t="shared" si="47"/>
        <v>23665</v>
      </c>
      <c r="E69" s="15">
        <f>IF(X69=1,IF($E$7="No",ROUND(IF('Manual Data'!I68=1%,C69*$N$5,C69*'Manual Data'!I68),0),0),0)</f>
        <v>9102</v>
      </c>
      <c r="F69" s="15">
        <f>IF(X69=1,IF(C69=0,0,IF($F$7="Yes",IF('Manual Data'!G68=1,IF(OR($E$6="A",$E$6="A-1"),IF(OR($F$6="E1A",$F$6="E2A"),800,1400),IF(NOT(OR($F$6="E1A",$F$6="E2A")),800,500)),'Manual Data'!G68),0)),0)</f>
        <v>1400</v>
      </c>
      <c r="G69" s="15">
        <v>0</v>
      </c>
      <c r="H69" s="15">
        <f t="shared" si="39"/>
        <v>910</v>
      </c>
      <c r="I69" s="15"/>
      <c r="J69" s="16">
        <f t="shared" si="40"/>
        <v>80587</v>
      </c>
      <c r="K69" s="14">
        <f t="shared" si="41"/>
        <v>48040</v>
      </c>
      <c r="L69" s="15">
        <f t="shared" si="48"/>
        <v>24981</v>
      </c>
      <c r="M69" s="15">
        <f>IF(X69=1,IF($E$7="No",ROUND(IF('Manual Data'!I68=1%,C69*$N$5,C69*'Manual Data'!I68),0),0),0)</f>
        <v>9102</v>
      </c>
      <c r="N69" s="15">
        <f t="shared" si="32"/>
        <v>1400</v>
      </c>
      <c r="O69" s="15">
        <f t="shared" si="33"/>
        <v>0</v>
      </c>
      <c r="P69" s="15">
        <f t="shared" si="34"/>
        <v>910</v>
      </c>
      <c r="Q69" s="15">
        <f t="shared" si="35"/>
        <v>0</v>
      </c>
      <c r="R69" s="14">
        <f t="shared" si="36"/>
        <v>84433</v>
      </c>
      <c r="S69" s="14">
        <f t="shared" si="37"/>
        <v>3846</v>
      </c>
      <c r="T69" s="47">
        <v>52</v>
      </c>
      <c r="U69" s="70">
        <f>MIN(ROUNDUP(IF('Manual Data'!E68=1,IF(A69='Manual Data'!N68,ROUND(U68*103%-0.01,0),U68),'Manual Data'!E68),-1),NBPH1)</f>
        <v>45510</v>
      </c>
      <c r="V69" s="70">
        <f>MIN(ROUNDUP(IF('Manual Data'!H68=1,IF(A69='Manual Data'!N68,ROUND(V68*103%-0.01,0),V68),'Manual Data'!H68),-1),HPS)</f>
        <v>48040</v>
      </c>
      <c r="W69" s="70">
        <f>MIN(IF('Manual Data'!E67=1,IF(A69=$E$5,W68+INC1,W68),'Manual Data'!E67),OBPH1)</f>
        <v>18250</v>
      </c>
      <c r="X69" s="46">
        <f t="shared" si="42"/>
        <v>1</v>
      </c>
      <c r="Y69" s="46">
        <f t="shared" si="49"/>
        <v>0</v>
      </c>
      <c r="Z69" s="46">
        <f t="shared" si="43"/>
        <v>0</v>
      </c>
      <c r="AA69" s="46">
        <f t="shared" si="44"/>
        <v>0</v>
      </c>
      <c r="AB69" s="46">
        <f t="shared" si="45"/>
        <v>0</v>
      </c>
      <c r="AC69" s="46">
        <f t="shared" si="46"/>
        <v>3846</v>
      </c>
      <c r="AZ69" s="154">
        <v>74</v>
      </c>
      <c r="BA69" s="154">
        <v>6.085</v>
      </c>
    </row>
    <row r="70" spans="1:53" ht="12" customHeight="1">
      <c r="A70" s="9" t="s">
        <v>10</v>
      </c>
      <c r="B70" s="53" t="s">
        <v>96</v>
      </c>
      <c r="C70" s="14">
        <f t="shared" si="38"/>
        <v>45510</v>
      </c>
      <c r="D70" s="15">
        <f t="shared" si="47"/>
        <v>23665</v>
      </c>
      <c r="E70" s="15">
        <f>IF(X70=1,IF($E$7="No",ROUND(IF('Manual Data'!I69=1%,C70*$N$5,C70*'Manual Data'!I69),0),0),0)</f>
        <v>9102</v>
      </c>
      <c r="F70" s="15">
        <f>IF(X70=1,IF(C70=0,0,IF($F$7="Yes",IF('Manual Data'!G69=1,IF(OR($E$6="A",$E$6="A-1"),IF(OR($F$6="E1A",$F$6="E2A"),800,1400),IF(NOT(OR($F$6="E1A",$F$6="E2A")),800,500)),'Manual Data'!G69),0)),0)</f>
        <v>1400</v>
      </c>
      <c r="G70" s="15">
        <v>0</v>
      </c>
      <c r="H70" s="15">
        <f t="shared" si="39"/>
        <v>910</v>
      </c>
      <c r="I70" s="15"/>
      <c r="J70" s="16">
        <f t="shared" si="40"/>
        <v>80587</v>
      </c>
      <c r="K70" s="14">
        <f t="shared" si="41"/>
        <v>48040</v>
      </c>
      <c r="L70" s="15">
        <f t="shared" si="48"/>
        <v>24981</v>
      </c>
      <c r="M70" s="15">
        <f>IF(X70=1,IF($E$7="No",ROUND(IF('Manual Data'!I69=1%,C70*$N$5,C70*'Manual Data'!I69),0),0),0)</f>
        <v>9102</v>
      </c>
      <c r="N70" s="15">
        <f aca="true" t="shared" si="50" ref="N70:N89">IF(X70=1,F70,0)</f>
        <v>1400</v>
      </c>
      <c r="O70" s="15">
        <f aca="true" t="shared" si="51" ref="O70:O89">IF(X70=1,G70,0)</f>
        <v>0</v>
      </c>
      <c r="P70" s="15">
        <f aca="true" t="shared" si="52" ref="P70:P89">IF(X70=1,H70,0)</f>
        <v>910</v>
      </c>
      <c r="Q70" s="15">
        <f aca="true" t="shared" si="53" ref="Q70:Q89">IF(X70=1,I70,0)</f>
        <v>0</v>
      </c>
      <c r="R70" s="14">
        <f t="shared" si="36"/>
        <v>84433</v>
      </c>
      <c r="S70" s="14">
        <f t="shared" si="37"/>
        <v>3846</v>
      </c>
      <c r="T70" s="47">
        <v>52</v>
      </c>
      <c r="U70" s="70">
        <f>MIN(ROUNDUP(IF('Manual Data'!E69=1,IF(A70='Manual Data'!N69,ROUND(U69*103%-0.01,0),U69),'Manual Data'!E69),-1),NBPH1)</f>
        <v>45510</v>
      </c>
      <c r="V70" s="70">
        <f>MIN(ROUNDUP(IF('Manual Data'!H69=1,IF(A70='Manual Data'!N69,ROUND(V69*103%-0.01,0),V69),'Manual Data'!H69),-1),HPS)</f>
        <v>48040</v>
      </c>
      <c r="W70" s="70">
        <f>MIN(IF('Manual Data'!E68=1,IF(A70=$E$5,W69+INC1,W69),'Manual Data'!E68),OBPH1)</f>
        <v>18250</v>
      </c>
      <c r="X70" s="46">
        <f t="shared" si="42"/>
        <v>1</v>
      </c>
      <c r="Y70" s="46">
        <f t="shared" si="49"/>
        <v>0</v>
      </c>
      <c r="Z70" s="46">
        <f t="shared" si="43"/>
        <v>0</v>
      </c>
      <c r="AA70" s="46">
        <f t="shared" si="44"/>
        <v>0</v>
      </c>
      <c r="AB70" s="46">
        <f t="shared" si="45"/>
        <v>0</v>
      </c>
      <c r="AC70" s="46">
        <f t="shared" si="46"/>
        <v>3846</v>
      </c>
      <c r="AZ70" s="154">
        <v>75</v>
      </c>
      <c r="BA70" s="154">
        <v>5.872</v>
      </c>
    </row>
    <row r="71" spans="1:53" ht="12" customHeight="1">
      <c r="A71" s="9" t="s">
        <v>11</v>
      </c>
      <c r="B71" s="53" t="s">
        <v>96</v>
      </c>
      <c r="C71" s="14">
        <f t="shared" si="38"/>
        <v>45510</v>
      </c>
      <c r="D71" s="15">
        <f t="shared" si="47"/>
        <v>23665</v>
      </c>
      <c r="E71" s="15">
        <f>IF(X71=1,IF($E$7="No",ROUND(IF('Manual Data'!I70=1%,C71*$N$5,C71*'Manual Data'!I70),0),0),0)</f>
        <v>9102</v>
      </c>
      <c r="F71" s="15">
        <f>IF(X71=1,IF(C71=0,0,IF($F$7="Yes",IF('Manual Data'!G70=1,IF(OR($E$6="A",$E$6="A-1"),IF(OR($F$6="E1A",$F$6="E2A"),800,1400),IF(NOT(OR($F$6="E1A",$F$6="E2A")),800,500)),'Manual Data'!G70),0)),0)</f>
        <v>1400</v>
      </c>
      <c r="G71" s="15">
        <v>0</v>
      </c>
      <c r="H71" s="15">
        <f t="shared" si="39"/>
        <v>910</v>
      </c>
      <c r="I71" s="15"/>
      <c r="J71" s="16">
        <f t="shared" si="40"/>
        <v>80587</v>
      </c>
      <c r="K71" s="14">
        <f t="shared" si="41"/>
        <v>48040</v>
      </c>
      <c r="L71" s="15">
        <f t="shared" si="48"/>
        <v>24981</v>
      </c>
      <c r="M71" s="15">
        <f>IF(X71=1,IF($E$7="No",ROUND(IF('Manual Data'!I70=1%,C71*$N$5,C71*'Manual Data'!I70),0),0),0)</f>
        <v>9102</v>
      </c>
      <c r="N71" s="15">
        <f t="shared" si="50"/>
        <v>1400</v>
      </c>
      <c r="O71" s="15">
        <f t="shared" si="51"/>
        <v>0</v>
      </c>
      <c r="P71" s="15">
        <f t="shared" si="52"/>
        <v>910</v>
      </c>
      <c r="Q71" s="15">
        <f t="shared" si="53"/>
        <v>0</v>
      </c>
      <c r="R71" s="14">
        <f t="shared" si="36"/>
        <v>84433</v>
      </c>
      <c r="S71" s="14">
        <f t="shared" si="37"/>
        <v>3846</v>
      </c>
      <c r="T71" s="47">
        <v>52</v>
      </c>
      <c r="U71" s="70">
        <f>MIN(ROUNDUP(IF('Manual Data'!E70=1,IF(A71='Manual Data'!N70,ROUND(U70*103%-0.01,0),U70),'Manual Data'!E70),-1),NBPH1)</f>
        <v>45510</v>
      </c>
      <c r="V71" s="70">
        <f>MIN(ROUNDUP(IF('Manual Data'!H70=1,IF(A71='Manual Data'!N70,ROUND(V70*103%-0.01,0),V70),'Manual Data'!H70),-1),HPS)</f>
        <v>48040</v>
      </c>
      <c r="W71" s="70">
        <f>MIN(IF('Manual Data'!E69=1,IF(A71=$E$5,W70+INC1,W70),'Manual Data'!E69),OBPH1)</f>
        <v>18250</v>
      </c>
      <c r="X71" s="46">
        <f t="shared" si="42"/>
        <v>1</v>
      </c>
      <c r="Y71" s="46">
        <f t="shared" si="49"/>
        <v>0</v>
      </c>
      <c r="Z71" s="46">
        <f t="shared" si="43"/>
        <v>0</v>
      </c>
      <c r="AA71" s="46">
        <f t="shared" si="44"/>
        <v>0</v>
      </c>
      <c r="AB71" s="46">
        <f t="shared" si="45"/>
        <v>0</v>
      </c>
      <c r="AC71" s="46">
        <f t="shared" si="46"/>
        <v>3846</v>
      </c>
      <c r="AZ71" s="154">
        <v>76</v>
      </c>
      <c r="BA71" s="154">
        <v>5.657</v>
      </c>
    </row>
    <row r="72" spans="1:53" ht="12" customHeight="1">
      <c r="A72" s="57" t="s">
        <v>12</v>
      </c>
      <c r="B72" s="58" t="s">
        <v>97</v>
      </c>
      <c r="C72" s="14">
        <f t="shared" si="38"/>
        <v>13653</v>
      </c>
      <c r="D72" s="60">
        <f t="shared" si="47"/>
        <v>7741</v>
      </c>
      <c r="E72" s="60">
        <f>IF(X72=1,IF($E$7="No",ROUND(IF('Manual Data'!I71=1%,C72*$N$5,C72*'Manual Data'!I71),0),0),0)</f>
        <v>0</v>
      </c>
      <c r="F72" s="60">
        <f>IF(X72=1,IF(C72=0,0,IF($F$7="Yes",IF('Manual Data'!G71=1,IF(OR($E$6="A",$E$6="A-1"),IF(OR($F$6="E1A",$F$6="E2A"),800,1400),IF(NOT(OR($F$6="E1A",$F$6="E2A")),800,500)),'Manual Data'!G71),0)),0)</f>
        <v>0</v>
      </c>
      <c r="G72" s="60">
        <v>0</v>
      </c>
      <c r="H72" s="60">
        <f t="shared" si="39"/>
        <v>0</v>
      </c>
      <c r="I72" s="60"/>
      <c r="J72" s="61">
        <f t="shared" si="40"/>
        <v>21394</v>
      </c>
      <c r="K72" s="14">
        <f t="shared" si="41"/>
        <v>14918</v>
      </c>
      <c r="L72" s="60">
        <f t="shared" si="48"/>
        <v>8459</v>
      </c>
      <c r="M72" s="60">
        <f>IF(X72=1,IF($E$7="No",ROUND(IF('Manual Data'!I71=1%,C72*$N$5,C72*'Manual Data'!I71),0),0),0)</f>
        <v>0</v>
      </c>
      <c r="N72" s="60">
        <f t="shared" si="50"/>
        <v>0</v>
      </c>
      <c r="O72" s="60">
        <f t="shared" si="51"/>
        <v>0</v>
      </c>
      <c r="P72" s="60">
        <f t="shared" si="52"/>
        <v>0</v>
      </c>
      <c r="Q72" s="60">
        <f t="shared" si="53"/>
        <v>0</v>
      </c>
      <c r="R72" s="59">
        <f t="shared" si="36"/>
        <v>23377</v>
      </c>
      <c r="S72" s="59">
        <f t="shared" si="37"/>
        <v>1983</v>
      </c>
      <c r="T72" s="47">
        <v>56.7</v>
      </c>
      <c r="U72" s="70">
        <f>MIN(ROUNDUP(IF('Manual Data'!E71=1,IF(A72='Manual Data'!N71,ROUND(U71*103%-0.01,0),U71),'Manual Data'!E71),-1),NBPH1)</f>
        <v>45510</v>
      </c>
      <c r="V72" s="70">
        <f>MIN(ROUNDUP(IF('Manual Data'!H71=1,IF(A72='Manual Data'!N71,ROUND(V71*103%-0.01,0),V71),'Manual Data'!H71),-1),HPS)</f>
        <v>48040</v>
      </c>
      <c r="W72" s="70">
        <f>MIN(IF('Manual Data'!E70=1,IF(A72=$E$5,W71+INC1,W71),'Manual Data'!E70),OBPH1)</f>
        <v>18250</v>
      </c>
      <c r="X72" s="46">
        <f t="shared" si="42"/>
        <v>0.5</v>
      </c>
      <c r="Y72" s="46">
        <f t="shared" si="49"/>
        <v>1</v>
      </c>
      <c r="Z72" s="46">
        <f t="shared" si="43"/>
        <v>22755</v>
      </c>
      <c r="AA72" s="46">
        <f t="shared" si="44"/>
        <v>24020</v>
      </c>
      <c r="AB72" s="46">
        <f t="shared" si="45"/>
        <v>56.7</v>
      </c>
      <c r="AC72" s="46">
        <f t="shared" si="46"/>
        <v>0</v>
      </c>
      <c r="AZ72" s="154">
        <v>77</v>
      </c>
      <c r="BA72" s="154">
        <v>5.443</v>
      </c>
    </row>
    <row r="73" spans="1:53" ht="12" customHeight="1">
      <c r="A73" s="57" t="s">
        <v>13</v>
      </c>
      <c r="B73" s="58" t="s">
        <v>97</v>
      </c>
      <c r="C73" s="14">
        <f t="shared" si="38"/>
        <v>13653</v>
      </c>
      <c r="D73" s="60">
        <f t="shared" si="47"/>
        <v>7741</v>
      </c>
      <c r="E73" s="60">
        <f>IF(X73=1,IF($E$7="No",ROUND(IF('Manual Data'!I72=1%,C73*$N$5,C73*'Manual Data'!I72),0),0),0)</f>
        <v>0</v>
      </c>
      <c r="F73" s="60">
        <f>IF(X73=1,IF(C73=0,0,IF($F$7="Yes",IF('Manual Data'!G72=1,IF(OR($E$6="A",$E$6="A-1"),IF(OR($F$6="E1A",$F$6="E2A"),800,1400),IF(NOT(OR($F$6="E1A",$F$6="E2A")),800,500)),'Manual Data'!G72),0)),0)</f>
        <v>0</v>
      </c>
      <c r="G73" s="60">
        <v>0</v>
      </c>
      <c r="H73" s="60">
        <f t="shared" si="39"/>
        <v>0</v>
      </c>
      <c r="I73" s="60"/>
      <c r="J73" s="61">
        <f t="shared" si="40"/>
        <v>21394</v>
      </c>
      <c r="K73" s="14">
        <f t="shared" si="41"/>
        <v>14918</v>
      </c>
      <c r="L73" s="60">
        <f t="shared" si="48"/>
        <v>8459</v>
      </c>
      <c r="M73" s="60">
        <f>IF(X73=1,IF($E$7="No",ROUND(IF('Manual Data'!I72=1%,C73*$N$5,C73*'Manual Data'!I72),0),0),0)</f>
        <v>0</v>
      </c>
      <c r="N73" s="60">
        <f t="shared" si="50"/>
        <v>0</v>
      </c>
      <c r="O73" s="60">
        <f t="shared" si="51"/>
        <v>0</v>
      </c>
      <c r="P73" s="60">
        <f t="shared" si="52"/>
        <v>0</v>
      </c>
      <c r="Q73" s="60">
        <f t="shared" si="53"/>
        <v>0</v>
      </c>
      <c r="R73" s="59">
        <f t="shared" si="36"/>
        <v>23377</v>
      </c>
      <c r="S73" s="59">
        <f t="shared" si="37"/>
        <v>1983</v>
      </c>
      <c r="T73" s="47">
        <v>56.7</v>
      </c>
      <c r="U73" s="70">
        <f>MIN(ROUNDUP(IF('Manual Data'!E72=1,IF(A73='Manual Data'!N72,ROUND(U72*103%-0.01,0),U72),'Manual Data'!E72),-1),NBPH1)</f>
        <v>45510</v>
      </c>
      <c r="V73" s="70">
        <f>MIN(ROUNDUP(IF('Manual Data'!H72=1,IF(A73='Manual Data'!N72,ROUND(V72*103%-0.01,0),V72),'Manual Data'!H72),-1),HPS)</f>
        <v>48040</v>
      </c>
      <c r="W73" s="70">
        <f>MIN(IF('Manual Data'!E71=1,IF(A73=$E$5,W72+INC1,W72),'Manual Data'!E71),OBPH1)</f>
        <v>18250</v>
      </c>
      <c r="X73" s="46">
        <f t="shared" si="42"/>
        <v>0.5</v>
      </c>
      <c r="Y73" s="46">
        <f t="shared" si="49"/>
        <v>0</v>
      </c>
      <c r="Z73" s="46">
        <f t="shared" si="43"/>
        <v>0</v>
      </c>
      <c r="AA73" s="46">
        <f t="shared" si="44"/>
        <v>0</v>
      </c>
      <c r="AB73" s="46">
        <f t="shared" si="45"/>
        <v>0</v>
      </c>
      <c r="AC73" s="46">
        <f t="shared" si="46"/>
        <v>0</v>
      </c>
      <c r="AZ73" s="154">
        <v>78</v>
      </c>
      <c r="BA73" s="154">
        <v>5.229</v>
      </c>
    </row>
    <row r="74" spans="1:53" ht="12" customHeight="1">
      <c r="A74" s="57" t="s">
        <v>14</v>
      </c>
      <c r="B74" s="58" t="s">
        <v>97</v>
      </c>
      <c r="C74" s="14">
        <f t="shared" si="38"/>
        <v>13653</v>
      </c>
      <c r="D74" s="60">
        <f t="shared" si="47"/>
        <v>7741</v>
      </c>
      <c r="E74" s="60">
        <f>IF(X74=1,IF($E$7="No",ROUND(IF('Manual Data'!I73=1%,C74*$N$5,C74*'Manual Data'!I73),0),0),0)</f>
        <v>0</v>
      </c>
      <c r="F74" s="60">
        <f>IF(X74=1,IF(C74=0,0,IF($F$7="Yes",IF('Manual Data'!G73=1,IF(OR($E$6="A",$E$6="A-1"),IF(OR($F$6="E1A",$F$6="E2A"),800,1400),IF(NOT(OR($F$6="E1A",$F$6="E2A")),800,500)),'Manual Data'!G73),0)),0)</f>
        <v>0</v>
      </c>
      <c r="G74" s="60">
        <v>0</v>
      </c>
      <c r="H74" s="60">
        <f t="shared" si="39"/>
        <v>0</v>
      </c>
      <c r="I74" s="60"/>
      <c r="J74" s="61">
        <f t="shared" si="40"/>
        <v>21394</v>
      </c>
      <c r="K74" s="14">
        <f t="shared" si="41"/>
        <v>14918</v>
      </c>
      <c r="L74" s="60">
        <f t="shared" si="48"/>
        <v>8459</v>
      </c>
      <c r="M74" s="60">
        <f>IF(X74=1,IF($E$7="No",ROUND(IF('Manual Data'!I73=1%,C74*$N$5,C74*'Manual Data'!I73),0),0),0)</f>
        <v>0</v>
      </c>
      <c r="N74" s="60">
        <f t="shared" si="50"/>
        <v>0</v>
      </c>
      <c r="O74" s="60">
        <f t="shared" si="51"/>
        <v>0</v>
      </c>
      <c r="P74" s="60">
        <f t="shared" si="52"/>
        <v>0</v>
      </c>
      <c r="Q74" s="60">
        <f t="shared" si="53"/>
        <v>0</v>
      </c>
      <c r="R74" s="59">
        <f t="shared" si="36"/>
        <v>23377</v>
      </c>
      <c r="S74" s="59">
        <f t="shared" si="37"/>
        <v>1983</v>
      </c>
      <c r="T74" s="47">
        <v>56.7</v>
      </c>
      <c r="U74" s="70">
        <f>MIN(ROUNDUP(IF('Manual Data'!E73=1,IF(A74='Manual Data'!N73,ROUND(U73*103%-0.01,0),U73),'Manual Data'!E73),-1),NBPH1)</f>
        <v>45510</v>
      </c>
      <c r="V74" s="70">
        <f>MIN(ROUNDUP(IF('Manual Data'!H73=1,IF(A74='Manual Data'!N73,ROUND(V73*103%-0.01,0),V73),'Manual Data'!H73),-1),HPS)</f>
        <v>48040</v>
      </c>
      <c r="W74" s="70">
        <f>MIN(IF('Manual Data'!E72=1,IF(A74=$E$5,W73+INC1,W73),'Manual Data'!E72),OBPH1)</f>
        <v>18250</v>
      </c>
      <c r="X74" s="46">
        <f t="shared" si="42"/>
        <v>0.5</v>
      </c>
      <c r="Y74" s="46">
        <f t="shared" si="49"/>
        <v>0</v>
      </c>
      <c r="Z74" s="46">
        <f t="shared" si="43"/>
        <v>0</v>
      </c>
      <c r="AA74" s="46">
        <f t="shared" si="44"/>
        <v>0</v>
      </c>
      <c r="AB74" s="46">
        <f t="shared" si="45"/>
        <v>0</v>
      </c>
      <c r="AC74" s="46">
        <f t="shared" si="46"/>
        <v>0</v>
      </c>
      <c r="AZ74" s="154">
        <v>79</v>
      </c>
      <c r="BA74" s="154">
        <v>5.018</v>
      </c>
    </row>
    <row r="75" spans="1:53" ht="12" customHeight="1">
      <c r="A75" s="57" t="s">
        <v>15</v>
      </c>
      <c r="B75" s="58" t="s">
        <v>97</v>
      </c>
      <c r="C75" s="14">
        <f t="shared" si="38"/>
        <v>13653</v>
      </c>
      <c r="D75" s="60">
        <f t="shared" si="47"/>
        <v>7741</v>
      </c>
      <c r="E75" s="60">
        <f>IF(X75=1,IF($E$7="No",ROUND(IF('Manual Data'!I74=1%,C75*$N$5,C75*'Manual Data'!I74),0),0),0)</f>
        <v>0</v>
      </c>
      <c r="F75" s="60">
        <f>IF(X75=1,IF(C75=0,0,IF($F$7="Yes",IF('Manual Data'!G74=1,IF(OR($E$6="A",$E$6="A-1"),IF(OR($F$6="E1A",$F$6="E2A"),800,1400),IF(NOT(OR($F$6="E1A",$F$6="E2A")),800,500)),'Manual Data'!G74),0)),0)</f>
        <v>0</v>
      </c>
      <c r="G75" s="60">
        <v>0</v>
      </c>
      <c r="H75" s="60">
        <f t="shared" si="39"/>
        <v>0</v>
      </c>
      <c r="I75" s="60"/>
      <c r="J75" s="61">
        <f t="shared" si="40"/>
        <v>21394</v>
      </c>
      <c r="K75" s="14">
        <f t="shared" si="41"/>
        <v>14918</v>
      </c>
      <c r="L75" s="60">
        <f t="shared" si="48"/>
        <v>8459</v>
      </c>
      <c r="M75" s="60">
        <f>IF(X75=1,IF($E$7="No",ROUND(IF('Manual Data'!I74=1%,C75*$N$5,C75*'Manual Data'!I74),0),0),0)</f>
        <v>0</v>
      </c>
      <c r="N75" s="60">
        <f t="shared" si="50"/>
        <v>0</v>
      </c>
      <c r="O75" s="60">
        <f t="shared" si="51"/>
        <v>0</v>
      </c>
      <c r="P75" s="60">
        <f t="shared" si="52"/>
        <v>0</v>
      </c>
      <c r="Q75" s="60">
        <f t="shared" si="53"/>
        <v>0</v>
      </c>
      <c r="R75" s="59">
        <f t="shared" si="36"/>
        <v>23377</v>
      </c>
      <c r="S75" s="59">
        <f t="shared" si="37"/>
        <v>1983</v>
      </c>
      <c r="T75" s="47">
        <v>56.7</v>
      </c>
      <c r="U75" s="70">
        <f>MIN(ROUNDUP(IF('Manual Data'!E74=1,IF(A75='Manual Data'!N74,ROUND(U74*103%-0.01,0),U74),'Manual Data'!E74),-1),NBPH1)</f>
        <v>45510</v>
      </c>
      <c r="V75" s="70">
        <f>MIN(ROUNDUP(IF('Manual Data'!H74=1,IF(A75='Manual Data'!N74,ROUND(V74*103%-0.01,0),V74),'Manual Data'!H74),-1),HPS)</f>
        <v>48040</v>
      </c>
      <c r="W75" s="70">
        <f>MIN(IF('Manual Data'!E73=1,IF(A75=$E$5,W74+INC1,W74),'Manual Data'!E73),OBPH1)</f>
        <v>18250</v>
      </c>
      <c r="X75" s="46">
        <f t="shared" si="42"/>
        <v>0.5</v>
      </c>
      <c r="Y75" s="46">
        <f t="shared" si="49"/>
        <v>0</v>
      </c>
      <c r="Z75" s="46">
        <f t="shared" si="43"/>
        <v>0</v>
      </c>
      <c r="AA75" s="46">
        <f t="shared" si="44"/>
        <v>0</v>
      </c>
      <c r="AB75" s="46">
        <f t="shared" si="45"/>
        <v>0</v>
      </c>
      <c r="AC75" s="46">
        <f t="shared" si="46"/>
        <v>0</v>
      </c>
      <c r="AZ75" s="154">
        <v>80</v>
      </c>
      <c r="BA75" s="154">
        <v>4.812</v>
      </c>
    </row>
    <row r="76" spans="1:53" ht="12" customHeight="1">
      <c r="A76" s="57" t="s">
        <v>16</v>
      </c>
      <c r="B76" s="58" t="s">
        <v>97</v>
      </c>
      <c r="C76" s="14">
        <f aca="true" t="shared" si="54" ref="C76:C89">IF(X76=1,U76*X76,ROUNDUP(MIN(MAX($Z$12:$Z$89),45000)-MIN(MAX($Z$12:$Z$89),45000)*$J$6,0))</f>
        <v>13653</v>
      </c>
      <c r="D76" s="60">
        <f t="shared" si="47"/>
        <v>7741</v>
      </c>
      <c r="E76" s="60">
        <f>IF(X76=1,IF($E$7="No",ROUND(IF('Manual Data'!I75=1%,C76*$N$5,C76*'Manual Data'!I75),0),0),0)</f>
        <v>0</v>
      </c>
      <c r="F76" s="60">
        <f>IF(X76=1,IF(C76=0,0,IF($F$7="Yes",IF('Manual Data'!G75=1,IF(OR($E$6="A",$E$6="A-1"),IF(OR($F$6="E1A",$F$6="E2A"),800,1400),IF(NOT(OR($F$6="E1A",$F$6="E2A")),800,500)),'Manual Data'!G75),0)),0)</f>
        <v>0</v>
      </c>
      <c r="G76" s="60">
        <v>0</v>
      </c>
      <c r="H76" s="60">
        <f t="shared" si="39"/>
        <v>0</v>
      </c>
      <c r="I76" s="60"/>
      <c r="J76" s="61">
        <f aca="true" t="shared" si="55" ref="J76:J89">SUM(C76:I76)</f>
        <v>21394</v>
      </c>
      <c r="K76" s="14">
        <f aca="true" t="shared" si="56" ref="K76:K89">IF(X76=1,V76*X76,(MAX($AA$12:$AA$89)-(MAX($Z$12:$Z$89)-$N$6)))</f>
        <v>14918</v>
      </c>
      <c r="L76" s="60">
        <f t="shared" si="48"/>
        <v>8459</v>
      </c>
      <c r="M76" s="60">
        <f>IF(X76=1,IF($E$7="No",ROUND(IF('Manual Data'!I75=1%,C76*$N$5,C76*'Manual Data'!I75),0),0),0)</f>
        <v>0</v>
      </c>
      <c r="N76" s="60">
        <f t="shared" si="50"/>
        <v>0</v>
      </c>
      <c r="O76" s="60">
        <f t="shared" si="51"/>
        <v>0</v>
      </c>
      <c r="P76" s="60">
        <f t="shared" si="52"/>
        <v>0</v>
      </c>
      <c r="Q76" s="60">
        <f t="shared" si="53"/>
        <v>0</v>
      </c>
      <c r="R76" s="59">
        <f t="shared" si="36"/>
        <v>23377</v>
      </c>
      <c r="S76" s="59">
        <f t="shared" si="37"/>
        <v>1983</v>
      </c>
      <c r="T76" s="47">
        <v>56.7</v>
      </c>
      <c r="U76" s="70">
        <f>MIN(ROUNDUP(IF('Manual Data'!E75=1,IF(A76='Manual Data'!N75,ROUND(U75*103%-0.01,0),U75),'Manual Data'!E75),-1),NBPH1)</f>
        <v>45510</v>
      </c>
      <c r="V76" s="70">
        <f>MIN(ROUNDUP(IF('Manual Data'!H75=1,IF(A76='Manual Data'!N75,ROUND(V75*103%-0.01,0),V75),'Manual Data'!H75),-1),HPS)</f>
        <v>48040</v>
      </c>
      <c r="W76" s="70">
        <f>MIN(IF('Manual Data'!E74=1,IF(A76=$E$5,W75+INC1,W75),'Manual Data'!E74),OBPH1)</f>
        <v>18250</v>
      </c>
      <c r="X76" s="46">
        <f aca="true" t="shared" si="57" ref="X76:X89">MIN(IF(A75&amp;"20"&amp;B75=$E$8&amp;$F$8,0.5,1),X75)</f>
        <v>0.5</v>
      </c>
      <c r="Y76" s="46">
        <f t="shared" si="49"/>
        <v>0</v>
      </c>
      <c r="Z76" s="46">
        <f aca="true" t="shared" si="58" ref="Z76:Z89">(U76/2)*Y76</f>
        <v>0</v>
      </c>
      <c r="AA76" s="46">
        <f aca="true" t="shared" si="59" ref="AA76:AA89">(V76/2)*Y76</f>
        <v>0</v>
      </c>
      <c r="AB76" s="46">
        <f aca="true" t="shared" si="60" ref="AB76:AB89">T76*Y76</f>
        <v>0</v>
      </c>
      <c r="AC76" s="46">
        <f aca="true" t="shared" si="61" ref="AC76:AC89">IF(X76=1,S76,0)</f>
        <v>0</v>
      </c>
      <c r="AZ76" s="154">
        <v>81</v>
      </c>
      <c r="BA76" s="154">
        <v>4.611</v>
      </c>
    </row>
    <row r="77" spans="1:53" ht="12" customHeight="1">
      <c r="A77" s="57" t="s">
        <v>17</v>
      </c>
      <c r="B77" s="58" t="s">
        <v>97</v>
      </c>
      <c r="C77" s="14">
        <f t="shared" si="54"/>
        <v>13653</v>
      </c>
      <c r="D77" s="60">
        <f aca="true" t="shared" si="62" ref="D77:D89">ROUND(C77*T77%,0)</f>
        <v>7741</v>
      </c>
      <c r="E77" s="60">
        <f>IF(X77=1,IF($E$7="No",ROUND(IF('Manual Data'!I76=1%,C77*$N$5,C77*'Manual Data'!I76),0),0),0)</f>
        <v>0</v>
      </c>
      <c r="F77" s="60">
        <f>IF(X77=1,IF(C77=0,0,IF($F$7="Yes",IF('Manual Data'!G76=1,IF(OR($E$6="A",$E$6="A-1"),IF(OR($F$6="E1A",$F$6="E2A"),800,1400),IF(NOT(OR($F$6="E1A",$F$6="E2A")),800,500)),'Manual Data'!G76),0)),0)</f>
        <v>0</v>
      </c>
      <c r="G77" s="60">
        <v>0</v>
      </c>
      <c r="H77" s="60">
        <f t="shared" si="39"/>
        <v>0</v>
      </c>
      <c r="I77" s="60"/>
      <c r="J77" s="61">
        <f t="shared" si="55"/>
        <v>21394</v>
      </c>
      <c r="K77" s="14">
        <f t="shared" si="56"/>
        <v>14918</v>
      </c>
      <c r="L77" s="60">
        <f aca="true" t="shared" si="63" ref="L77:L89">ROUND(K77*T77%,0)</f>
        <v>8459</v>
      </c>
      <c r="M77" s="60">
        <f>IF(X77=1,IF($E$7="No",ROUND(IF('Manual Data'!I76=1%,C77*$N$5,C77*'Manual Data'!I76),0),0),0)</f>
        <v>0</v>
      </c>
      <c r="N77" s="60">
        <f t="shared" si="50"/>
        <v>0</v>
      </c>
      <c r="O77" s="60">
        <f t="shared" si="51"/>
        <v>0</v>
      </c>
      <c r="P77" s="60">
        <f t="shared" si="52"/>
        <v>0</v>
      </c>
      <c r="Q77" s="60">
        <f t="shared" si="53"/>
        <v>0</v>
      </c>
      <c r="R77" s="59">
        <f t="shared" si="36"/>
        <v>23377</v>
      </c>
      <c r="S77" s="59">
        <f t="shared" si="37"/>
        <v>1983</v>
      </c>
      <c r="T77" s="47">
        <v>56.7</v>
      </c>
      <c r="U77" s="70">
        <f>MIN(ROUNDUP(IF('Manual Data'!E76=1,IF(A77='Manual Data'!N76,ROUND(U76*103%-0.01,0),U76),'Manual Data'!E76),-1),NBPH1)</f>
        <v>45510</v>
      </c>
      <c r="V77" s="70">
        <f>MIN(ROUNDUP(IF('Manual Data'!H76=1,IF(A77='Manual Data'!N76,ROUND(V76*103%-0.01,0),V76),'Manual Data'!H76),-1),HPS)</f>
        <v>48040</v>
      </c>
      <c r="W77" s="70">
        <f>MIN(IF('Manual Data'!E75=1,IF(A77=$E$5,W76+INC1,W76),'Manual Data'!E75),OBPH1)</f>
        <v>18250</v>
      </c>
      <c r="X77" s="46">
        <f t="shared" si="57"/>
        <v>0.5</v>
      </c>
      <c r="Y77" s="46">
        <f t="shared" si="49"/>
        <v>0</v>
      </c>
      <c r="Z77" s="46">
        <f t="shared" si="58"/>
        <v>0</v>
      </c>
      <c r="AA77" s="46">
        <f t="shared" si="59"/>
        <v>0</v>
      </c>
      <c r="AB77" s="46">
        <f t="shared" si="60"/>
        <v>0</v>
      </c>
      <c r="AC77" s="46">
        <f t="shared" si="61"/>
        <v>0</v>
      </c>
      <c r="AZ77" s="154">
        <v>82</v>
      </c>
      <c r="BA77" s="154"/>
    </row>
    <row r="78" spans="1:53" ht="12" customHeight="1">
      <c r="A78" s="57" t="s">
        <v>18</v>
      </c>
      <c r="B78" s="58" t="s">
        <v>97</v>
      </c>
      <c r="C78" s="14">
        <f t="shared" si="54"/>
        <v>13653</v>
      </c>
      <c r="D78" s="60">
        <f t="shared" si="62"/>
        <v>8397</v>
      </c>
      <c r="E78" s="60">
        <f>IF(X78=1,IF($E$7="No",ROUND(IF('Manual Data'!I77=1%,C78*$N$5,C78*'Manual Data'!I77),0),0),0)</f>
        <v>0</v>
      </c>
      <c r="F78" s="60">
        <f>IF(X78=1,IF(C78=0,0,IF($F$7="Yes",IF('Manual Data'!G77=1,IF(OR($E$6="A",$E$6="A-1"),IF(OR($F$6="E1A",$F$6="E2A"),800,1400),IF(NOT(OR($F$6="E1A",$F$6="E2A")),800,500)),'Manual Data'!G77),0)),0)</f>
        <v>0</v>
      </c>
      <c r="G78" s="60">
        <v>0</v>
      </c>
      <c r="H78" s="60">
        <f t="shared" si="39"/>
        <v>0</v>
      </c>
      <c r="I78" s="60"/>
      <c r="J78" s="61">
        <f t="shared" si="55"/>
        <v>22050</v>
      </c>
      <c r="K78" s="14">
        <f t="shared" si="56"/>
        <v>14918</v>
      </c>
      <c r="L78" s="60">
        <f t="shared" si="63"/>
        <v>9175</v>
      </c>
      <c r="M78" s="60">
        <f>IF(X78=1,IF($E$7="No",ROUND(IF('Manual Data'!I77=1%,C78*$N$5,C78*'Manual Data'!I77),0),0),0)</f>
        <v>0</v>
      </c>
      <c r="N78" s="60">
        <f t="shared" si="50"/>
        <v>0</v>
      </c>
      <c r="O78" s="60">
        <f t="shared" si="51"/>
        <v>0</v>
      </c>
      <c r="P78" s="60">
        <f t="shared" si="52"/>
        <v>0</v>
      </c>
      <c r="Q78" s="60">
        <f t="shared" si="53"/>
        <v>0</v>
      </c>
      <c r="R78" s="59">
        <f t="shared" si="36"/>
        <v>24093</v>
      </c>
      <c r="S78" s="59">
        <f t="shared" si="37"/>
        <v>2043</v>
      </c>
      <c r="T78" s="47">
        <v>61.5</v>
      </c>
      <c r="U78" s="70">
        <f>MIN(ROUNDUP(IF('Manual Data'!E77=1,IF(A78='Manual Data'!N77,ROUND(U77*103%-0.01,0),U77),'Manual Data'!E77),-1),NBPH1)</f>
        <v>45510</v>
      </c>
      <c r="V78" s="70">
        <f>MIN(ROUNDUP(IF('Manual Data'!H77=1,IF(A78='Manual Data'!N77,ROUND(V77*103%-0.01,0),V77),'Manual Data'!H77),-1),HPS)</f>
        <v>48040</v>
      </c>
      <c r="W78" s="70">
        <f>MIN(IF('Manual Data'!E76=1,IF(A78=$E$5,W77+INC1,W77),'Manual Data'!E76),OBPH1)</f>
        <v>18250</v>
      </c>
      <c r="X78" s="46">
        <f t="shared" si="57"/>
        <v>0.5</v>
      </c>
      <c r="Y78" s="46">
        <f t="shared" si="49"/>
        <v>0</v>
      </c>
      <c r="Z78" s="46">
        <f t="shared" si="58"/>
        <v>0</v>
      </c>
      <c r="AA78" s="46">
        <f t="shared" si="59"/>
        <v>0</v>
      </c>
      <c r="AB78" s="46">
        <f t="shared" si="60"/>
        <v>0</v>
      </c>
      <c r="AC78" s="46">
        <f t="shared" si="61"/>
        <v>0</v>
      </c>
      <c r="AZ78" s="154">
        <v>83</v>
      </c>
      <c r="BA78" s="154"/>
    </row>
    <row r="79" spans="1:53" ht="12" customHeight="1">
      <c r="A79" s="57" t="s">
        <v>19</v>
      </c>
      <c r="B79" s="58" t="s">
        <v>97</v>
      </c>
      <c r="C79" s="14">
        <f t="shared" si="54"/>
        <v>13653</v>
      </c>
      <c r="D79" s="60">
        <f t="shared" si="62"/>
        <v>8397</v>
      </c>
      <c r="E79" s="60">
        <f>IF(X79=1,IF($E$7="No",ROUND(IF('Manual Data'!I78=1%,C79*$N$5,C79*'Manual Data'!I78),0),0),0)</f>
        <v>0</v>
      </c>
      <c r="F79" s="60">
        <f>IF(X79=1,IF(C79=0,0,IF($F$7="Yes",IF('Manual Data'!G78=1,IF(OR($E$6="A",$E$6="A-1"),IF(OR($F$6="E1A",$F$6="E2A"),800,1400),IF(NOT(OR($F$6="E1A",$F$6="E2A")),800,500)),'Manual Data'!G78),0)),0)</f>
        <v>0</v>
      </c>
      <c r="G79" s="60">
        <v>0</v>
      </c>
      <c r="H79" s="60">
        <f t="shared" si="39"/>
        <v>0</v>
      </c>
      <c r="I79" s="60"/>
      <c r="J79" s="61">
        <f t="shared" si="55"/>
        <v>22050</v>
      </c>
      <c r="K79" s="14">
        <f t="shared" si="56"/>
        <v>14918</v>
      </c>
      <c r="L79" s="60">
        <f t="shared" si="63"/>
        <v>9175</v>
      </c>
      <c r="M79" s="60">
        <f>IF(X79=1,IF($E$7="No",ROUND(IF('Manual Data'!I78=1%,C79*$N$5,C79*'Manual Data'!I78),0),0),0)</f>
        <v>0</v>
      </c>
      <c r="N79" s="60">
        <f t="shared" si="50"/>
        <v>0</v>
      </c>
      <c r="O79" s="60">
        <f t="shared" si="51"/>
        <v>0</v>
      </c>
      <c r="P79" s="60">
        <f t="shared" si="52"/>
        <v>0</v>
      </c>
      <c r="Q79" s="60">
        <f t="shared" si="53"/>
        <v>0</v>
      </c>
      <c r="R79" s="59">
        <f t="shared" si="36"/>
        <v>24093</v>
      </c>
      <c r="S79" s="59">
        <f t="shared" si="37"/>
        <v>2043</v>
      </c>
      <c r="T79" s="47">
        <v>61.5</v>
      </c>
      <c r="U79" s="70">
        <f>MIN(ROUNDUP(IF('Manual Data'!E78=1,IF(A79='Manual Data'!N78,ROUND(U78*103%-0.01,0),U78),'Manual Data'!E78),-1),NBPH1)</f>
        <v>45510</v>
      </c>
      <c r="V79" s="70">
        <f>MIN(ROUNDUP(IF('Manual Data'!H78=1,IF(A79='Manual Data'!N78,ROUND(V78*103%-0.01,0),V78),'Manual Data'!H78),-1),HPS)</f>
        <v>48040</v>
      </c>
      <c r="W79" s="70">
        <f>MIN(IF('Manual Data'!E77=1,IF(A79=$E$5,W78+INC1,W78),'Manual Data'!E77),OBPH1)</f>
        <v>18250</v>
      </c>
      <c r="X79" s="46">
        <f t="shared" si="57"/>
        <v>0.5</v>
      </c>
      <c r="Y79" s="46">
        <f t="shared" si="49"/>
        <v>0</v>
      </c>
      <c r="Z79" s="46">
        <f t="shared" si="58"/>
        <v>0</v>
      </c>
      <c r="AA79" s="46">
        <f t="shared" si="59"/>
        <v>0</v>
      </c>
      <c r="AB79" s="46">
        <f t="shared" si="60"/>
        <v>0</v>
      </c>
      <c r="AC79" s="46">
        <f t="shared" si="61"/>
        <v>0</v>
      </c>
      <c r="AZ79" s="154">
        <v>84</v>
      </c>
      <c r="BA79" s="154"/>
    </row>
    <row r="80" spans="1:53" ht="12" customHeight="1">
      <c r="A80" s="57" t="s">
        <v>20</v>
      </c>
      <c r="B80" s="58" t="s">
        <v>97</v>
      </c>
      <c r="C80" s="14">
        <f t="shared" si="54"/>
        <v>13653</v>
      </c>
      <c r="D80" s="60">
        <f t="shared" si="62"/>
        <v>8397</v>
      </c>
      <c r="E80" s="60">
        <f>IF(X80=1,IF($E$7="No",ROUND(IF('Manual Data'!I79=1%,C80*$N$5,C80*'Manual Data'!I79),0),0),0)</f>
        <v>0</v>
      </c>
      <c r="F80" s="60">
        <f>IF(X80=1,IF(C80=0,0,IF($F$7="Yes",IF('Manual Data'!G79=1,IF(OR($E$6="A",$E$6="A-1"),IF(OR($F$6="E1A",$F$6="E2A"),800,1400),IF(NOT(OR($F$6="E1A",$F$6="E2A")),800,500)),'Manual Data'!G79),0)),0)</f>
        <v>0</v>
      </c>
      <c r="G80" s="60">
        <v>0</v>
      </c>
      <c r="H80" s="60">
        <f t="shared" si="39"/>
        <v>0</v>
      </c>
      <c r="I80" s="60"/>
      <c r="J80" s="61">
        <f t="shared" si="55"/>
        <v>22050</v>
      </c>
      <c r="K80" s="14">
        <f t="shared" si="56"/>
        <v>14918</v>
      </c>
      <c r="L80" s="60">
        <f t="shared" si="63"/>
        <v>9175</v>
      </c>
      <c r="M80" s="60">
        <f>IF(X80=1,IF($E$7="No",ROUND(IF('Manual Data'!I79=1%,C80*$N$5,C80*'Manual Data'!I79),0),0),0)</f>
        <v>0</v>
      </c>
      <c r="N80" s="60">
        <f t="shared" si="50"/>
        <v>0</v>
      </c>
      <c r="O80" s="60">
        <f t="shared" si="51"/>
        <v>0</v>
      </c>
      <c r="P80" s="60">
        <f t="shared" si="52"/>
        <v>0</v>
      </c>
      <c r="Q80" s="60">
        <f t="shared" si="53"/>
        <v>0</v>
      </c>
      <c r="R80" s="59">
        <f t="shared" si="36"/>
        <v>24093</v>
      </c>
      <c r="S80" s="59">
        <f t="shared" si="37"/>
        <v>2043</v>
      </c>
      <c r="T80" s="47">
        <v>61.5</v>
      </c>
      <c r="U80" s="70">
        <f>MIN(ROUNDUP(IF('Manual Data'!E79=1,IF(A80='Manual Data'!N79,ROUND(U79*103%-0.01,0),U79),'Manual Data'!E79),-1),NBPH1)</f>
        <v>45510</v>
      </c>
      <c r="V80" s="70">
        <f>MIN(ROUNDUP(IF('Manual Data'!H79=1,IF(A80='Manual Data'!N79,ROUND(V79*103%-0.01,0),V79),'Manual Data'!H79),-1),HPS)</f>
        <v>48040</v>
      </c>
      <c r="W80" s="70">
        <f>MIN(IF('Manual Data'!E78=1,IF(A80=$E$5,W79+INC1,W79),'Manual Data'!E78),OBPH1)</f>
        <v>18250</v>
      </c>
      <c r="X80" s="46">
        <f t="shared" si="57"/>
        <v>0.5</v>
      </c>
      <c r="Y80" s="46">
        <f t="shared" si="49"/>
        <v>0</v>
      </c>
      <c r="Z80" s="46">
        <f t="shared" si="58"/>
        <v>0</v>
      </c>
      <c r="AA80" s="46">
        <f t="shared" si="59"/>
        <v>0</v>
      </c>
      <c r="AB80" s="46">
        <f t="shared" si="60"/>
        <v>0</v>
      </c>
      <c r="AC80" s="46">
        <f t="shared" si="61"/>
        <v>0</v>
      </c>
      <c r="AZ80" s="154">
        <v>85</v>
      </c>
      <c r="BA80" s="154"/>
    </row>
    <row r="81" spans="1:29" ht="12" customHeight="1">
      <c r="A81" s="57" t="s">
        <v>0</v>
      </c>
      <c r="B81" s="58" t="s">
        <v>97</v>
      </c>
      <c r="C81" s="14">
        <f t="shared" si="54"/>
        <v>13653</v>
      </c>
      <c r="D81" s="60">
        <f t="shared" si="62"/>
        <v>9188</v>
      </c>
      <c r="E81" s="60">
        <f>IF(X81=1,IF($E$7="No",ROUND(IF('Manual Data'!I80=1%,C81*$N$5,C81*'Manual Data'!I80),0),0),0)</f>
        <v>0</v>
      </c>
      <c r="F81" s="60">
        <f>IF(X81=1,IF(C81=0,0,IF($F$7="Yes",IF('Manual Data'!G80=1,IF(OR($E$6="A",$E$6="A-1"),IF(OR($F$6="E1A",$F$6="E2A"),800,1400),IF(NOT(OR($F$6="E1A",$F$6="E2A")),800,500)),'Manual Data'!G80),0)),0)</f>
        <v>0</v>
      </c>
      <c r="G81" s="60">
        <v>0</v>
      </c>
      <c r="H81" s="60">
        <f t="shared" si="39"/>
        <v>0</v>
      </c>
      <c r="I81" s="60"/>
      <c r="J81" s="61">
        <f t="shared" si="55"/>
        <v>22841</v>
      </c>
      <c r="K81" s="14">
        <f t="shared" si="56"/>
        <v>14918</v>
      </c>
      <c r="L81" s="60">
        <f t="shared" si="63"/>
        <v>10040</v>
      </c>
      <c r="M81" s="60">
        <f>IF(X81=1,IF($E$7="No",ROUND(IF('Manual Data'!I80=1%,C81*$N$5,C81*'Manual Data'!I80),0),0),0)</f>
        <v>0</v>
      </c>
      <c r="N81" s="60">
        <f t="shared" si="50"/>
        <v>0</v>
      </c>
      <c r="O81" s="60">
        <f t="shared" si="51"/>
        <v>0</v>
      </c>
      <c r="P81" s="60">
        <f t="shared" si="52"/>
        <v>0</v>
      </c>
      <c r="Q81" s="60">
        <f t="shared" si="53"/>
        <v>0</v>
      </c>
      <c r="R81" s="59">
        <f>SUM(K81:Q81)</f>
        <v>24958</v>
      </c>
      <c r="S81" s="59">
        <f aca="true" t="shared" si="64" ref="S81:S88">R81-J81</f>
        <v>2117</v>
      </c>
      <c r="T81" s="47">
        <v>67.3</v>
      </c>
      <c r="U81" s="70">
        <f>MIN(ROUNDUP(IF('Manual Data'!E80=1,IF(A81='Manual Data'!N80,ROUND(U80*103%-0.01,0),U80),'Manual Data'!E80),-1),NBPH1)</f>
        <v>46880</v>
      </c>
      <c r="V81" s="70">
        <f>MIN(ROUNDUP(IF('Manual Data'!H80=1,IF(A81='Manual Data'!N80,ROUND(V80*103%-0.01,0),V80),'Manual Data'!H80),-1),HPS)</f>
        <v>49490</v>
      </c>
      <c r="W81" s="70">
        <f>MIN(IF('Manual Data'!E79=1,IF(A81=$E$5,W80+INC1,W80),'Manual Data'!E79),OBPH1)</f>
        <v>18250</v>
      </c>
      <c r="X81" s="46">
        <f t="shared" si="57"/>
        <v>0.5</v>
      </c>
      <c r="Y81" s="46">
        <f t="shared" si="49"/>
        <v>0</v>
      </c>
      <c r="Z81" s="46">
        <f t="shared" si="58"/>
        <v>0</v>
      </c>
      <c r="AA81" s="46">
        <f t="shared" si="59"/>
        <v>0</v>
      </c>
      <c r="AB81" s="46">
        <f t="shared" si="60"/>
        <v>0</v>
      </c>
      <c r="AC81" s="46">
        <f t="shared" si="61"/>
        <v>0</v>
      </c>
    </row>
    <row r="82" spans="1:29" ht="12" customHeight="1">
      <c r="A82" s="57" t="s">
        <v>10</v>
      </c>
      <c r="B82" s="58" t="s">
        <v>97</v>
      </c>
      <c r="C82" s="14">
        <f t="shared" si="54"/>
        <v>13653</v>
      </c>
      <c r="D82" s="60">
        <f t="shared" si="62"/>
        <v>9188</v>
      </c>
      <c r="E82" s="60">
        <f>IF(X82=1,IF($E$7="No",ROUND(IF('Manual Data'!I81=1%,C82*$N$5,C82*'Manual Data'!I81),0),0),0)</f>
        <v>0</v>
      </c>
      <c r="F82" s="60">
        <f>IF(X82=1,IF(C82=0,0,IF($F$7="Yes",IF('Manual Data'!G81=1,IF(OR($E$6="A",$E$6="A-1"),IF(OR($F$6="E1A",$F$6="E2A"),800,1400),IF(NOT(OR($F$6="E1A",$F$6="E2A")),800,500)),'Manual Data'!G81),0)),0)</f>
        <v>0</v>
      </c>
      <c r="G82" s="60">
        <v>0</v>
      </c>
      <c r="H82" s="60">
        <f t="shared" si="39"/>
        <v>0</v>
      </c>
      <c r="I82" s="60"/>
      <c r="J82" s="61">
        <f t="shared" si="55"/>
        <v>22841</v>
      </c>
      <c r="K82" s="14">
        <f t="shared" si="56"/>
        <v>14918</v>
      </c>
      <c r="L82" s="60">
        <f t="shared" si="63"/>
        <v>10040</v>
      </c>
      <c r="M82" s="60">
        <f>IF(X82=1,IF($E$7="No",ROUND(IF('Manual Data'!I81=1%,C82*$N$5,C82*'Manual Data'!I81),0),0),0)</f>
        <v>0</v>
      </c>
      <c r="N82" s="60">
        <f t="shared" si="50"/>
        <v>0</v>
      </c>
      <c r="O82" s="60">
        <f t="shared" si="51"/>
        <v>0</v>
      </c>
      <c r="P82" s="60">
        <f t="shared" si="52"/>
        <v>0</v>
      </c>
      <c r="Q82" s="60">
        <f t="shared" si="53"/>
        <v>0</v>
      </c>
      <c r="R82" s="59">
        <f>SUM(K82:Q82)</f>
        <v>24958</v>
      </c>
      <c r="S82" s="59">
        <f t="shared" si="64"/>
        <v>2117</v>
      </c>
      <c r="T82" s="47">
        <v>67.3</v>
      </c>
      <c r="U82" s="70">
        <f>MIN(ROUNDUP(IF('Manual Data'!E81=1,IF(A82='Manual Data'!N81,ROUND(U81*103%-0.01,0),U81),'Manual Data'!E81),-1),NBPH1)</f>
        <v>46880</v>
      </c>
      <c r="V82" s="70">
        <f>MIN(ROUNDUP(IF('Manual Data'!H81=1,IF(A82='Manual Data'!N81,ROUND(V81*103%-0.01,0),V81),'Manual Data'!H81),-1),HPS)</f>
        <v>49490</v>
      </c>
      <c r="W82" s="70">
        <f>MIN(IF('Manual Data'!E89=1,IF(A82=$E$5,W81+INC1,W81),'Manual Data'!E89),OBPH1)</f>
        <v>18250</v>
      </c>
      <c r="X82" s="46">
        <f t="shared" si="57"/>
        <v>0.5</v>
      </c>
      <c r="Y82" s="46">
        <f t="shared" si="49"/>
        <v>0</v>
      </c>
      <c r="Z82" s="46">
        <f t="shared" si="58"/>
        <v>0</v>
      </c>
      <c r="AA82" s="46">
        <f t="shared" si="59"/>
        <v>0</v>
      </c>
      <c r="AB82" s="46">
        <f t="shared" si="60"/>
        <v>0</v>
      </c>
      <c r="AC82" s="46">
        <f t="shared" si="61"/>
        <v>0</v>
      </c>
    </row>
    <row r="83" spans="1:29" ht="12" customHeight="1">
      <c r="A83" s="57" t="s">
        <v>11</v>
      </c>
      <c r="B83" s="58" t="s">
        <v>97</v>
      </c>
      <c r="C83" s="14">
        <f t="shared" si="54"/>
        <v>13653</v>
      </c>
      <c r="D83" s="60">
        <f t="shared" si="62"/>
        <v>9188</v>
      </c>
      <c r="E83" s="60">
        <f>IF(X83=1,IF($E$7="No",ROUND(IF('Manual Data'!I82=1%,C83*$N$5,C83*'Manual Data'!I82),0),0),0)</f>
        <v>0</v>
      </c>
      <c r="F83" s="60">
        <f>IF(X83=1,IF(C83=0,0,IF($F$7="Yes",IF('Manual Data'!G82=1,IF(OR($E$6="A",$E$6="A-1"),IF(OR($F$6="E1A",$F$6="E2A"),800,1400),IF(NOT(OR($F$6="E1A",$F$6="E2A")),800,500)),'Manual Data'!G82),0)),0)</f>
        <v>0</v>
      </c>
      <c r="G83" s="60">
        <v>0</v>
      </c>
      <c r="H83" s="60">
        <f t="shared" si="39"/>
        <v>0</v>
      </c>
      <c r="I83" s="60"/>
      <c r="J83" s="59">
        <f t="shared" si="55"/>
        <v>22841</v>
      </c>
      <c r="K83" s="14">
        <f t="shared" si="56"/>
        <v>14918</v>
      </c>
      <c r="L83" s="60">
        <f t="shared" si="63"/>
        <v>10040</v>
      </c>
      <c r="M83" s="60">
        <f>IF(X83=1,IF($E$7="No",ROUND(IF('Manual Data'!I82=1%,C83*$N$5,C83*'Manual Data'!I82),0),0),0)</f>
        <v>0</v>
      </c>
      <c r="N83" s="60">
        <f t="shared" si="50"/>
        <v>0</v>
      </c>
      <c r="O83" s="60">
        <f t="shared" si="51"/>
        <v>0</v>
      </c>
      <c r="P83" s="60">
        <f t="shared" si="52"/>
        <v>0</v>
      </c>
      <c r="Q83" s="60">
        <f t="shared" si="53"/>
        <v>0</v>
      </c>
      <c r="R83" s="59">
        <f>SUM(K83:Q83)</f>
        <v>24958</v>
      </c>
      <c r="S83" s="59">
        <f t="shared" si="64"/>
        <v>2117</v>
      </c>
      <c r="T83" s="47">
        <v>67.3</v>
      </c>
      <c r="U83" s="70">
        <f>MIN(ROUNDUP(IF('Manual Data'!E82=1,IF(A83='Manual Data'!N82,ROUND(U82*103%-0.01,0),U82),'Manual Data'!E82),-1),NBPH1)</f>
        <v>46880</v>
      </c>
      <c r="V83" s="70">
        <f>MIN(ROUNDUP(IF('Manual Data'!H82=1,IF(A83='Manual Data'!N82,ROUND(V82*103%-0.01,0),V82),'Manual Data'!H82),-1),HPS)</f>
        <v>49490</v>
      </c>
      <c r="W83" s="70">
        <f>MIN(IF('Manual Data'!E90=1,IF(A83=$E$5,W82+INC1,W82),'Manual Data'!E90),OBPH1)</f>
        <v>18250</v>
      </c>
      <c r="X83" s="46">
        <f t="shared" si="57"/>
        <v>0.5</v>
      </c>
      <c r="Y83" s="46">
        <f t="shared" si="49"/>
        <v>0</v>
      </c>
      <c r="Z83" s="46">
        <f t="shared" si="58"/>
        <v>0</v>
      </c>
      <c r="AA83" s="46">
        <f t="shared" si="59"/>
        <v>0</v>
      </c>
      <c r="AB83" s="46">
        <f t="shared" si="60"/>
        <v>0</v>
      </c>
      <c r="AC83" s="46">
        <f t="shared" si="61"/>
        <v>0</v>
      </c>
    </row>
    <row r="84" spans="1:29" ht="12" customHeight="1">
      <c r="A84" s="57" t="s">
        <v>12</v>
      </c>
      <c r="B84" s="58" t="s">
        <v>101</v>
      </c>
      <c r="C84" s="14">
        <f t="shared" si="54"/>
        <v>13653</v>
      </c>
      <c r="D84" s="60">
        <f t="shared" si="62"/>
        <v>9762</v>
      </c>
      <c r="E84" s="60">
        <f>IF(X84=1,IF($E$7="No",ROUND(IF('Manual Data'!I83=1%,C84*$N$5,C84*'Manual Data'!I83),0),0),0)</f>
        <v>0</v>
      </c>
      <c r="F84" s="60">
        <f>IF(X84=1,IF(C84=0,0,IF($F$7="Yes",IF('Manual Data'!G83=1,IF(OR($E$6="A",$E$6="A-1"),IF(OR($F$6="E1A",$F$6="E2A"),800,1400),IF(NOT(OR($F$6="E1A",$F$6="E2A")),800,500)),'Manual Data'!G83),0)),0)</f>
        <v>0</v>
      </c>
      <c r="G84" s="60">
        <v>0</v>
      </c>
      <c r="H84" s="60">
        <f t="shared" si="39"/>
        <v>0</v>
      </c>
      <c r="I84" s="60"/>
      <c r="J84" s="59">
        <f t="shared" si="55"/>
        <v>23415</v>
      </c>
      <c r="K84" s="14">
        <f t="shared" si="56"/>
        <v>14918</v>
      </c>
      <c r="L84" s="60">
        <f t="shared" si="63"/>
        <v>10666</v>
      </c>
      <c r="M84" s="60">
        <f>IF(X84=1,IF($E$7="No",ROUND(IF('Manual Data'!I83=1%,C84*$N$5,C84*'Manual Data'!I83),0),0),0)</f>
        <v>0</v>
      </c>
      <c r="N84" s="60">
        <f t="shared" si="50"/>
        <v>0</v>
      </c>
      <c r="O84" s="60">
        <f t="shared" si="51"/>
        <v>0</v>
      </c>
      <c r="P84" s="60">
        <f t="shared" si="52"/>
        <v>0</v>
      </c>
      <c r="Q84" s="60">
        <f t="shared" si="53"/>
        <v>0</v>
      </c>
      <c r="R84" s="59">
        <f aca="true" t="shared" si="65" ref="R84:R89">SUM(K84:Q84)</f>
        <v>25584</v>
      </c>
      <c r="S84" s="59">
        <f t="shared" si="64"/>
        <v>2169</v>
      </c>
      <c r="T84" s="47">
        <v>71.5</v>
      </c>
      <c r="U84" s="70">
        <f>MIN(ROUNDUP(IF('Manual Data'!E83=1,IF(A84='Manual Data'!N83,ROUND(U83*103%-0.01,0),U83),'Manual Data'!E83),-1),NBPH1)</f>
        <v>46880</v>
      </c>
      <c r="V84" s="70">
        <f>MIN(ROUNDUP(IF('Manual Data'!H83=1,IF(A84='Manual Data'!N83,ROUND(V83*103%-0.01,0),V83),'Manual Data'!H83),-1),HPS)</f>
        <v>49490</v>
      </c>
      <c r="W84" s="70">
        <f>MIN(IF('Manual Data'!E91=1,IF(A84=$E$5,W83+INC1,W83),'Manual Data'!E91),OBPH1)</f>
        <v>18250</v>
      </c>
      <c r="X84" s="46">
        <f t="shared" si="57"/>
        <v>0.5</v>
      </c>
      <c r="Y84" s="46">
        <f t="shared" si="49"/>
        <v>0</v>
      </c>
      <c r="Z84" s="46">
        <f t="shared" si="58"/>
        <v>0</v>
      </c>
      <c r="AA84" s="46">
        <f t="shared" si="59"/>
        <v>0</v>
      </c>
      <c r="AB84" s="46">
        <f t="shared" si="60"/>
        <v>0</v>
      </c>
      <c r="AC84" s="46">
        <f t="shared" si="61"/>
        <v>0</v>
      </c>
    </row>
    <row r="85" spans="1:29" ht="12" customHeight="1">
      <c r="A85" s="57" t="s">
        <v>13</v>
      </c>
      <c r="B85" s="58" t="s">
        <v>101</v>
      </c>
      <c r="C85" s="14">
        <f t="shared" si="54"/>
        <v>13653</v>
      </c>
      <c r="D85" s="60">
        <f t="shared" si="62"/>
        <v>9762</v>
      </c>
      <c r="E85" s="60">
        <f>IF(X85=1,IF($E$7="No",ROUND(IF('Manual Data'!I84=1%,C85*$N$5,C85*'Manual Data'!I84),0),0),0)</f>
        <v>0</v>
      </c>
      <c r="F85" s="60">
        <f>IF(X85=1,IF(C85=0,0,IF($F$7="Yes",IF('Manual Data'!G84=1,IF(OR($E$6="A",$E$6="A-1"),IF(OR($F$6="E1A",$F$6="E2A"),800,1400),IF(NOT(OR($F$6="E1A",$F$6="E2A")),800,500)),'Manual Data'!G84),0)),0)</f>
        <v>0</v>
      </c>
      <c r="G85" s="60">
        <v>0</v>
      </c>
      <c r="H85" s="60">
        <f t="shared" si="39"/>
        <v>0</v>
      </c>
      <c r="I85" s="60"/>
      <c r="J85" s="59">
        <f t="shared" si="55"/>
        <v>23415</v>
      </c>
      <c r="K85" s="14">
        <f t="shared" si="56"/>
        <v>14918</v>
      </c>
      <c r="L85" s="60">
        <f t="shared" si="63"/>
        <v>10666</v>
      </c>
      <c r="M85" s="60">
        <f>IF(X85=1,IF($E$7="No",ROUND(IF('Manual Data'!I84=1%,C85*$N$5,C85*'Manual Data'!I84),0),0),0)</f>
        <v>0</v>
      </c>
      <c r="N85" s="60">
        <f t="shared" si="50"/>
        <v>0</v>
      </c>
      <c r="O85" s="60">
        <f t="shared" si="51"/>
        <v>0</v>
      </c>
      <c r="P85" s="60">
        <f t="shared" si="52"/>
        <v>0</v>
      </c>
      <c r="Q85" s="60">
        <f t="shared" si="53"/>
        <v>0</v>
      </c>
      <c r="R85" s="59">
        <f t="shared" si="65"/>
        <v>25584</v>
      </c>
      <c r="S85" s="59">
        <f t="shared" si="64"/>
        <v>2169</v>
      </c>
      <c r="T85" s="47">
        <v>71.5</v>
      </c>
      <c r="U85" s="70">
        <f>MIN(ROUNDUP(IF('Manual Data'!E84=1,IF(A85='Manual Data'!N84,ROUND(U84*103%-0.01,0),U84),'Manual Data'!E84),-1),NBPH1)</f>
        <v>46880</v>
      </c>
      <c r="V85" s="70">
        <f>MIN(ROUNDUP(IF('Manual Data'!H84=1,IF(A85='Manual Data'!N84,ROUND(V84*103%-0.01,0),V84),'Manual Data'!H84),-1),HPS)</f>
        <v>49490</v>
      </c>
      <c r="W85" s="70">
        <f>MIN(IF('Manual Data'!E92=1,IF(A85=$E$5,W84+INC1,W84),'Manual Data'!E92),OBPH1)</f>
        <v>18250</v>
      </c>
      <c r="X85" s="46">
        <f t="shared" si="57"/>
        <v>0.5</v>
      </c>
      <c r="Y85" s="46">
        <f t="shared" si="49"/>
        <v>0</v>
      </c>
      <c r="Z85" s="46">
        <f t="shared" si="58"/>
        <v>0</v>
      </c>
      <c r="AA85" s="46">
        <f t="shared" si="59"/>
        <v>0</v>
      </c>
      <c r="AB85" s="46">
        <f t="shared" si="60"/>
        <v>0</v>
      </c>
      <c r="AC85" s="46">
        <f t="shared" si="61"/>
        <v>0</v>
      </c>
    </row>
    <row r="86" spans="1:29" ht="12" customHeight="1">
      <c r="A86" s="57" t="s">
        <v>14</v>
      </c>
      <c r="B86" s="58" t="s">
        <v>101</v>
      </c>
      <c r="C86" s="14">
        <f t="shared" si="54"/>
        <v>13653</v>
      </c>
      <c r="D86" s="60">
        <f t="shared" si="62"/>
        <v>9762</v>
      </c>
      <c r="E86" s="60">
        <f>IF(X86=1,IF($E$7="No",ROUND(IF('Manual Data'!I85=1%,C86*$N$5,C86*'Manual Data'!I85),0),0),0)</f>
        <v>0</v>
      </c>
      <c r="F86" s="60">
        <f>IF(X86=1,IF(C86=0,0,IF($F$7="Yes",IF('Manual Data'!G85=1,IF(OR($E$6="A",$E$6="A-1"),IF(OR($F$6="E1A",$F$6="E2A"),800,1400),IF(NOT(OR($F$6="E1A",$F$6="E2A")),800,500)),'Manual Data'!G85),0)),0)</f>
        <v>0</v>
      </c>
      <c r="G86" s="60">
        <v>0</v>
      </c>
      <c r="H86" s="60">
        <f t="shared" si="39"/>
        <v>0</v>
      </c>
      <c r="I86" s="60"/>
      <c r="J86" s="59">
        <f t="shared" si="55"/>
        <v>23415</v>
      </c>
      <c r="K86" s="14">
        <f t="shared" si="56"/>
        <v>14918</v>
      </c>
      <c r="L86" s="60">
        <f t="shared" si="63"/>
        <v>10666</v>
      </c>
      <c r="M86" s="60">
        <f>IF(X86=1,IF($E$7="No",ROUND(IF('Manual Data'!I85=1%,C86*$N$5,C86*'Manual Data'!I85),0),0),0)</f>
        <v>0</v>
      </c>
      <c r="N86" s="60">
        <f t="shared" si="50"/>
        <v>0</v>
      </c>
      <c r="O86" s="60">
        <f t="shared" si="51"/>
        <v>0</v>
      </c>
      <c r="P86" s="60">
        <f t="shared" si="52"/>
        <v>0</v>
      </c>
      <c r="Q86" s="60">
        <f t="shared" si="53"/>
        <v>0</v>
      </c>
      <c r="R86" s="59">
        <f t="shared" si="65"/>
        <v>25584</v>
      </c>
      <c r="S86" s="59">
        <f t="shared" si="64"/>
        <v>2169</v>
      </c>
      <c r="T86" s="47">
        <v>71.5</v>
      </c>
      <c r="U86" s="70">
        <f>MIN(ROUNDUP(IF('Manual Data'!E85=1,IF(A86='Manual Data'!N85,ROUND(U85*103%-0.01,0),U85),'Manual Data'!E85),-1),NBPH1)</f>
        <v>46880</v>
      </c>
      <c r="V86" s="70">
        <f>MIN(ROUNDUP(IF('Manual Data'!H85=1,IF(A86='Manual Data'!N85,ROUND(V85*103%-0.01,0),V85),'Manual Data'!H85),-1),HPS)</f>
        <v>49490</v>
      </c>
      <c r="W86" s="70">
        <f>MIN(IF('Manual Data'!E93=1,IF(A86=$E$5,W85+INC1,W85),'Manual Data'!E93),OBPH1)</f>
        <v>18250</v>
      </c>
      <c r="X86" s="46">
        <f t="shared" si="57"/>
        <v>0.5</v>
      </c>
      <c r="Y86" s="46">
        <f t="shared" si="49"/>
        <v>0</v>
      </c>
      <c r="Z86" s="46">
        <f t="shared" si="58"/>
        <v>0</v>
      </c>
      <c r="AA86" s="46">
        <f t="shared" si="59"/>
        <v>0</v>
      </c>
      <c r="AB86" s="46">
        <f t="shared" si="60"/>
        <v>0</v>
      </c>
      <c r="AC86" s="46">
        <f t="shared" si="61"/>
        <v>0</v>
      </c>
    </row>
    <row r="87" spans="1:29" ht="12" customHeight="1">
      <c r="A87" s="57" t="s">
        <v>15</v>
      </c>
      <c r="B87" s="58" t="s">
        <v>101</v>
      </c>
      <c r="C87" s="14">
        <f t="shared" si="54"/>
        <v>13653</v>
      </c>
      <c r="D87" s="60">
        <f t="shared" si="62"/>
        <v>10226</v>
      </c>
      <c r="E87" s="60">
        <f>IF(X87=1,IF($E$7="No",ROUND(IF('Manual Data'!I86=1%,C87*$N$5,C87*'Manual Data'!I86),0),0),0)</f>
        <v>0</v>
      </c>
      <c r="F87" s="60">
        <f>IF(X87=1,IF(C87=0,0,IF($F$7="Yes",IF('Manual Data'!G86=1,IF(OR($E$6="A",$E$6="A-1"),IF(OR($F$6="E1A",$F$6="E2A"),800,1400),IF(NOT(OR($F$6="E1A",$F$6="E2A")),800,500)),'Manual Data'!G86),0)),0)</f>
        <v>0</v>
      </c>
      <c r="G87" s="60">
        <v>0</v>
      </c>
      <c r="H87" s="60">
        <f t="shared" si="39"/>
        <v>0</v>
      </c>
      <c r="I87" s="60"/>
      <c r="J87" s="59">
        <f t="shared" si="55"/>
        <v>23879</v>
      </c>
      <c r="K87" s="14">
        <f t="shared" si="56"/>
        <v>14918</v>
      </c>
      <c r="L87" s="60">
        <f t="shared" si="63"/>
        <v>11174</v>
      </c>
      <c r="M87" s="60">
        <f>IF(X87=1,IF($E$7="No",ROUND(IF('Manual Data'!I86=1%,C87*$N$5,C87*'Manual Data'!I86),0),0),0)</f>
        <v>0</v>
      </c>
      <c r="N87" s="60">
        <f t="shared" si="50"/>
        <v>0</v>
      </c>
      <c r="O87" s="60">
        <f t="shared" si="51"/>
        <v>0</v>
      </c>
      <c r="P87" s="60">
        <f t="shared" si="52"/>
        <v>0</v>
      </c>
      <c r="Q87" s="60">
        <f t="shared" si="53"/>
        <v>0</v>
      </c>
      <c r="R87" s="59">
        <f t="shared" si="65"/>
        <v>26092</v>
      </c>
      <c r="S87" s="59">
        <f t="shared" si="64"/>
        <v>2213</v>
      </c>
      <c r="T87" s="47">
        <v>74.9</v>
      </c>
      <c r="U87" s="70">
        <f>MIN(ROUNDUP(IF('Manual Data'!E86=1,IF(A87='Manual Data'!N86,ROUND(U86*103%-0.01,0),U86),'Manual Data'!E86),-1),NBPH1)</f>
        <v>46880</v>
      </c>
      <c r="V87" s="70">
        <f>MIN(ROUNDUP(IF('Manual Data'!H86=1,IF(A87='Manual Data'!N86,ROUND(V86*103%-0.01,0),V86),'Manual Data'!H86),-1),HPS)</f>
        <v>49490</v>
      </c>
      <c r="W87" s="70">
        <f>MIN(IF('Manual Data'!E94=1,IF(A87=$E$5,W86+INC1,W86),'Manual Data'!E94),OBPH1)</f>
        <v>18250</v>
      </c>
      <c r="X87" s="46">
        <f t="shared" si="57"/>
        <v>0.5</v>
      </c>
      <c r="Y87" s="46">
        <f t="shared" si="49"/>
        <v>0</v>
      </c>
      <c r="Z87" s="46">
        <f t="shared" si="58"/>
        <v>0</v>
      </c>
      <c r="AA87" s="46">
        <f t="shared" si="59"/>
        <v>0</v>
      </c>
      <c r="AB87" s="46">
        <f t="shared" si="60"/>
        <v>0</v>
      </c>
      <c r="AC87" s="46">
        <f t="shared" si="61"/>
        <v>0</v>
      </c>
    </row>
    <row r="88" spans="1:29" ht="12" customHeight="1">
      <c r="A88" s="57" t="s">
        <v>16</v>
      </c>
      <c r="B88" s="58" t="s">
        <v>101</v>
      </c>
      <c r="C88" s="14">
        <f t="shared" si="54"/>
        <v>13653</v>
      </c>
      <c r="D88" s="60">
        <f t="shared" si="62"/>
        <v>10226</v>
      </c>
      <c r="E88" s="60">
        <f>IF(X88=1,IF($E$7="No",ROUND(IF('Manual Data'!I87=1%,C88*$N$5,C88*'Manual Data'!I87),0),0),0)</f>
        <v>0</v>
      </c>
      <c r="F88" s="60">
        <f>IF(X88=1,IF(C88=0,0,IF($F$7="Yes",IF('Manual Data'!G87=1,IF(OR($E$6="A",$E$6="A-1"),IF(OR($F$6="E1A",$F$6="E2A"),800,1400),IF(NOT(OR($F$6="E1A",$F$6="E2A")),800,500)),'Manual Data'!G87),0)),0)</f>
        <v>0</v>
      </c>
      <c r="G88" s="60">
        <v>0</v>
      </c>
      <c r="H88" s="60">
        <f t="shared" si="39"/>
        <v>0</v>
      </c>
      <c r="I88" s="60"/>
      <c r="J88" s="59">
        <f t="shared" si="55"/>
        <v>23879</v>
      </c>
      <c r="K88" s="14">
        <f t="shared" si="56"/>
        <v>14918</v>
      </c>
      <c r="L88" s="60">
        <f t="shared" si="63"/>
        <v>11174</v>
      </c>
      <c r="M88" s="60">
        <f>IF(X88=1,IF($E$7="No",ROUND(IF('Manual Data'!I87=1%,C88*$N$5,C88*'Manual Data'!I87),0),0),0)</f>
        <v>0</v>
      </c>
      <c r="N88" s="60">
        <f t="shared" si="50"/>
        <v>0</v>
      </c>
      <c r="O88" s="60">
        <f t="shared" si="51"/>
        <v>0</v>
      </c>
      <c r="P88" s="60">
        <f t="shared" si="52"/>
        <v>0</v>
      </c>
      <c r="Q88" s="60">
        <f t="shared" si="53"/>
        <v>0</v>
      </c>
      <c r="R88" s="59">
        <f t="shared" si="65"/>
        <v>26092</v>
      </c>
      <c r="S88" s="59">
        <f t="shared" si="64"/>
        <v>2213</v>
      </c>
      <c r="T88" s="47">
        <v>74.9</v>
      </c>
      <c r="U88" s="70">
        <f>MIN(ROUNDUP(IF('Manual Data'!E87=1,IF(A88='Manual Data'!N87,ROUND(U87*103%-0.01,0),U87),'Manual Data'!E87),-1),NBPH1)</f>
        <v>46880</v>
      </c>
      <c r="V88" s="70">
        <f>MIN(ROUNDUP(IF('Manual Data'!H87=1,IF(A88='Manual Data'!N87,ROUND(V87*103%-0.01,0),V87),'Manual Data'!H87),-1),HPS)</f>
        <v>49490</v>
      </c>
      <c r="W88" s="70">
        <f>MIN(IF('Manual Data'!E95=1,IF(A88=$E$5,W87+INC1,W87),'Manual Data'!E95),OBPH1)</f>
        <v>18250</v>
      </c>
      <c r="X88" s="46">
        <f t="shared" si="57"/>
        <v>0.5</v>
      </c>
      <c r="Y88" s="46">
        <f t="shared" si="49"/>
        <v>0</v>
      </c>
      <c r="Z88" s="46">
        <f t="shared" si="58"/>
        <v>0</v>
      </c>
      <c r="AA88" s="46">
        <f t="shared" si="59"/>
        <v>0</v>
      </c>
      <c r="AB88" s="46">
        <f t="shared" si="60"/>
        <v>0</v>
      </c>
      <c r="AC88" s="46">
        <f t="shared" si="61"/>
        <v>0</v>
      </c>
    </row>
    <row r="89" spans="1:29" ht="12" customHeight="1">
      <c r="A89" s="57" t="s">
        <v>17</v>
      </c>
      <c r="B89" s="58" t="s">
        <v>101</v>
      </c>
      <c r="C89" s="14">
        <f t="shared" si="54"/>
        <v>13653</v>
      </c>
      <c r="D89" s="60">
        <f t="shared" si="62"/>
        <v>10226</v>
      </c>
      <c r="E89" s="60">
        <f>IF(X89=1,IF($E$7="No",ROUND(IF('Manual Data'!I88=1%,C89*$N$5,C89*'Manual Data'!I88),0),0),0)</f>
        <v>0</v>
      </c>
      <c r="F89" s="60">
        <f>IF(X89=1,IF(C89=0,0,IF($F$7="Yes",IF('Manual Data'!G88=1,IF(OR($E$6="A",$E$6="A-1"),IF(OR($F$6="E1A",$F$6="E2A"),800,1400),IF(NOT(OR($F$6="E1A",$F$6="E2A")),800,500)),'Manual Data'!G88),0)),0)</f>
        <v>0</v>
      </c>
      <c r="G89" s="60">
        <v>0</v>
      </c>
      <c r="H89" s="60">
        <f t="shared" si="39"/>
        <v>0</v>
      </c>
      <c r="I89" s="60"/>
      <c r="J89" s="59">
        <f t="shared" si="55"/>
        <v>23879</v>
      </c>
      <c r="K89" s="14">
        <f t="shared" si="56"/>
        <v>14918</v>
      </c>
      <c r="L89" s="60">
        <f t="shared" si="63"/>
        <v>11174</v>
      </c>
      <c r="M89" s="60">
        <f>IF(X89=1,IF($E$7="No",ROUND(IF('Manual Data'!I88=1%,C89*$N$5,C89*'Manual Data'!I88),0),0),0)</f>
        <v>0</v>
      </c>
      <c r="N89" s="60">
        <f t="shared" si="50"/>
        <v>0</v>
      </c>
      <c r="O89" s="60">
        <f t="shared" si="51"/>
        <v>0</v>
      </c>
      <c r="P89" s="60">
        <f t="shared" si="52"/>
        <v>0</v>
      </c>
      <c r="Q89" s="60">
        <f t="shared" si="53"/>
        <v>0</v>
      </c>
      <c r="R89" s="59">
        <f t="shared" si="65"/>
        <v>26092</v>
      </c>
      <c r="S89" s="59">
        <f>((R89-J89)/30)*9</f>
        <v>663.9</v>
      </c>
      <c r="T89" s="47">
        <v>74.9</v>
      </c>
      <c r="U89" s="70">
        <f>MIN(ROUNDUP(IF('Manual Data'!E88=1,IF(A89='Manual Data'!N88,ROUND(U88*103%-0.01,0),U88),'Manual Data'!E88),-1),NBPH1)</f>
        <v>46880</v>
      </c>
      <c r="V89" s="70">
        <f>MIN(ROUNDUP(IF('Manual Data'!H88=1,IF(A89='Manual Data'!N88,ROUND(V88*103%-0.01,0),V88),'Manual Data'!H88),-1),HPS)</f>
        <v>49490</v>
      </c>
      <c r="W89" s="70">
        <f>MIN(IF('Manual Data'!E96=1,IF(A89=$E$5,W88+INC1,W88),'Manual Data'!E96),OBPH1)</f>
        <v>18250</v>
      </c>
      <c r="X89" s="46">
        <f t="shared" si="57"/>
        <v>0.5</v>
      </c>
      <c r="Y89" s="46">
        <f t="shared" si="49"/>
        <v>0</v>
      </c>
      <c r="Z89" s="46">
        <f t="shared" si="58"/>
        <v>0</v>
      </c>
      <c r="AA89" s="46">
        <f t="shared" si="59"/>
        <v>0</v>
      </c>
      <c r="AB89" s="46">
        <f t="shared" si="60"/>
        <v>0</v>
      </c>
      <c r="AC89" s="46">
        <f t="shared" si="61"/>
        <v>0</v>
      </c>
    </row>
    <row r="90" spans="1:19" ht="12" customHeight="1">
      <c r="A90" s="6" t="s">
        <v>99</v>
      </c>
      <c r="S90" s="7" t="s">
        <v>143</v>
      </c>
    </row>
    <row r="93" spans="18:19" ht="12" customHeight="1">
      <c r="R93" s="19"/>
      <c r="S93" s="18"/>
    </row>
  </sheetData>
  <sheetProtection selectLockedCells="1"/>
  <mergeCells count="18">
    <mergeCell ref="U5:V5"/>
    <mergeCell ref="M3:N3"/>
    <mergeCell ref="M4:N4"/>
    <mergeCell ref="A2:D2"/>
    <mergeCell ref="E2:G2"/>
    <mergeCell ref="E3:F3"/>
    <mergeCell ref="A4:D4"/>
    <mergeCell ref="A5:D5"/>
    <mergeCell ref="Q1:S1"/>
    <mergeCell ref="A10:B11"/>
    <mergeCell ref="E4:F4"/>
    <mergeCell ref="E5:F5"/>
    <mergeCell ref="I2:J2"/>
    <mergeCell ref="M2:N2"/>
    <mergeCell ref="S10:S11"/>
    <mergeCell ref="C10:J10"/>
    <mergeCell ref="K10:R10"/>
    <mergeCell ref="A6:D6"/>
  </mergeCells>
  <conditionalFormatting sqref="A12:S89">
    <cfRule type="expression" priority="14" dxfId="0" stopIfTrue="1">
      <formula>$X12=0.5</formula>
    </cfRule>
  </conditionalFormatting>
  <conditionalFormatting sqref="Y8">
    <cfRule type="expression" priority="34" dxfId="10">
      <formula>$X$8="NIL"</formula>
    </cfRule>
  </conditionalFormatting>
  <conditionalFormatting sqref="J7">
    <cfRule type="expression" priority="35" dxfId="10" stopIfTrue="1">
      <formula>$I$7="NIL"</formula>
    </cfRule>
  </conditionalFormatting>
  <conditionalFormatting sqref="J8">
    <cfRule type="expression" priority="36" dxfId="10" stopIfTrue="1">
      <formula>$I$8="NIL"</formula>
    </cfRule>
  </conditionalFormatting>
  <conditionalFormatting sqref="N8">
    <cfRule type="expression" priority="1" dxfId="10" stopIfTrue="1">
      <formula>$M$8="NIL"</formula>
    </cfRule>
  </conditionalFormatting>
  <dataValidations count="11">
    <dataValidation type="list" allowBlank="1" showInputMessage="1" showErrorMessage="1" sqref="E4">
      <formula1>INDIRECT($AN$24)</formula1>
    </dataValidation>
    <dataValidation type="list" allowBlank="1" showInputMessage="1" showErrorMessage="1" sqref="E7">
      <formula1>"No,Yes"</formula1>
    </dataValidation>
    <dataValidation type="list" allowBlank="1" showInputMessage="1" showErrorMessage="1" sqref="E3">
      <formula1>$AN$12:$AN$22</formula1>
    </dataValidation>
    <dataValidation type="list" allowBlank="1" showInputMessage="1" showErrorMessage="1" sqref="E5 E8">
      <formula1>$A$12:$A$23</formula1>
    </dataValidation>
    <dataValidation errorStyle="warning" allowBlank="1" showErrorMessage="1" sqref="M5"/>
    <dataValidation type="list" allowBlank="1" showInputMessage="1" showErrorMessage="1" sqref="F7">
      <formula1>"Yes,No"</formula1>
    </dataValidation>
    <dataValidation type="list" allowBlank="1" showInputMessage="1" showErrorMessage="1" sqref="E6">
      <formula1>INDIRECT($V$2)</formula1>
    </dataValidation>
    <dataValidation type="list" allowBlank="1" showInputMessage="1" showErrorMessage="1" sqref="J3">
      <formula1>"60,59,58,57,56,55,54,53,52,51,50,49,48,47,46,45"</formula1>
    </dataValidation>
    <dataValidation type="list" allowBlank="1" showInputMessage="1" showErrorMessage="1" sqref="J6">
      <formula1>"40%,30%,20%,10%,0%"</formula1>
    </dataValidation>
    <dataValidation type="list" allowBlank="1" showInputMessage="1" showErrorMessage="1" sqref="F8 J7:J8 N8">
      <formula1>"2007,2008,2009,2010,2011,2012,2013"</formula1>
    </dataValidation>
    <dataValidation type="list" allowBlank="1" showInputMessage="1" showErrorMessage="1" sqref="I7:I8 M8">
      <formula1>"NIL,Jan,Feb,Mar,Apr,May,Jun,Jul,Aug,Sep,Oct,Nov,Dec"</formula1>
    </dataValidation>
  </dataValidations>
  <printOptions horizontalCentered="1"/>
  <pageMargins left="0.25" right="0.25" top="0.25" bottom="0.25" header="0.25" footer="0.25"/>
  <pageSetup horizontalDpi="300" verticalDpi="300" orientation="landscape" paperSize="9" r:id="rId3"/>
  <colBreaks count="1" manualBreakCount="1">
    <brk id="19" max="65535" man="1"/>
  </colBreaks>
  <legacyDrawing r:id="rId2"/>
</worksheet>
</file>

<file path=xl/worksheets/sheet2.xml><?xml version="1.0" encoding="utf-8"?>
<worksheet xmlns="http://schemas.openxmlformats.org/spreadsheetml/2006/main" xmlns:r="http://schemas.openxmlformats.org/officeDocument/2006/relationships">
  <sheetPr codeName="Sheet1">
    <tabColor rgb="FF00B050"/>
  </sheetPr>
  <dimension ref="A1:L48"/>
  <sheetViews>
    <sheetView showGridLines="0" view="pageBreakPreview" zoomScaleSheetLayoutView="100" zoomScalePageLayoutView="0" workbookViewId="0" topLeftCell="C4">
      <selection activeCell="C8" sqref="C8"/>
    </sheetView>
  </sheetViews>
  <sheetFormatPr defaultColWidth="9.140625" defaultRowHeight="16.5" customHeight="1"/>
  <cols>
    <col min="1" max="1" width="4.7109375" style="34" hidden="1" customWidth="1"/>
    <col min="2" max="2" width="3.421875" style="33" hidden="1" customWidth="1"/>
    <col min="3" max="3" width="11.140625" style="40" customWidth="1"/>
    <col min="4" max="10" width="11.140625" style="34" customWidth="1"/>
    <col min="11" max="11" width="6.421875" style="70" customWidth="1"/>
    <col min="12" max="12" width="5.57421875" style="70" customWidth="1"/>
    <col min="13" max="15" width="9.140625" style="70" customWidth="1"/>
    <col min="16" max="18" width="9.140625" style="44" customWidth="1"/>
    <col min="19" max="16384" width="9.140625" style="34" customWidth="1"/>
  </cols>
  <sheetData>
    <row r="1" spans="3:10" ht="13.5" customHeight="1">
      <c r="C1" s="166" t="s">
        <v>133</v>
      </c>
      <c r="D1" s="167"/>
      <c r="E1" s="167"/>
      <c r="F1" s="168"/>
      <c r="G1" s="175" t="s">
        <v>138</v>
      </c>
      <c r="H1" s="176"/>
      <c r="I1" s="176"/>
      <c r="J1" s="177"/>
    </row>
    <row r="2" spans="3:10" ht="13.5" customHeight="1">
      <c r="C2" s="169" t="s">
        <v>141</v>
      </c>
      <c r="D2" s="170"/>
      <c r="E2" s="170"/>
      <c r="F2" s="197">
        <f>SUM(MASTER!AC12:AC89)</f>
        <v>169326</v>
      </c>
      <c r="G2" s="184" t="str">
        <f>"Pension 68.8 (After "&amp;MASTER!$J$6*100&amp;"% Commutation)"</f>
        <v>Pension 68.8 (After 40% Commutation)</v>
      </c>
      <c r="H2" s="178"/>
      <c r="I2" s="179"/>
      <c r="J2" s="200">
        <f>MASTER!$N$6</f>
        <v>13653</v>
      </c>
    </row>
    <row r="3" spans="3:10" ht="13.5" customHeight="1">
      <c r="C3" s="171" t="s">
        <v>155</v>
      </c>
      <c r="D3" s="172"/>
      <c r="E3" s="172"/>
      <c r="F3" s="198">
        <f>SUM(MASTER!S12:S89)-F2</f>
        <v>35974.899999999994</v>
      </c>
      <c r="G3" s="185" t="s">
        <v>162</v>
      </c>
      <c r="H3" s="186"/>
      <c r="I3" s="187"/>
      <c r="J3" s="201">
        <f>MASTER!$N$7</f>
        <v>14918</v>
      </c>
    </row>
    <row r="4" spans="3:10" ht="13.5" customHeight="1">
      <c r="C4" s="171" t="s">
        <v>137</v>
      </c>
      <c r="D4" s="172"/>
      <c r="E4" s="172"/>
      <c r="F4" s="198">
        <f>MASTER!S5</f>
        <v>39645</v>
      </c>
      <c r="G4" s="162" t="s">
        <v>134</v>
      </c>
      <c r="H4" s="163"/>
      <c r="I4" s="163"/>
      <c r="J4" s="164"/>
    </row>
    <row r="5" spans="3:10" ht="13.5" customHeight="1">
      <c r="C5" s="171" t="s">
        <v>136</v>
      </c>
      <c r="D5" s="172"/>
      <c r="E5" s="172"/>
      <c r="F5" s="198">
        <f>MASTER!S3</f>
        <v>0</v>
      </c>
      <c r="G5" s="189" t="s">
        <v>139</v>
      </c>
      <c r="H5" s="190"/>
      <c r="I5" s="191"/>
      <c r="J5" s="195">
        <f>MASTER!$S$8</f>
        <v>95326</v>
      </c>
    </row>
    <row r="6" spans="3:10" ht="13.5" customHeight="1">
      <c r="C6" s="173" t="str">
        <f>"Commutation Difference at "&amp;MASTER!J6*100&amp;"%"</f>
        <v>Commutation Difference at 40%</v>
      </c>
      <c r="D6" s="174"/>
      <c r="E6" s="174"/>
      <c r="F6" s="199">
        <f>MASTER!S4</f>
        <v>50318</v>
      </c>
      <c r="G6" s="192" t="s">
        <v>161</v>
      </c>
      <c r="H6" s="193"/>
      <c r="I6" s="194"/>
      <c r="J6" s="196">
        <f>J47</f>
        <v>2717</v>
      </c>
    </row>
    <row r="7" ht="27" customHeight="1">
      <c r="C7" s="50" t="s">
        <v>135</v>
      </c>
    </row>
    <row r="8" spans="1:11" ht="16.5" customHeight="1">
      <c r="A8" s="29" t="s">
        <v>122</v>
      </c>
      <c r="B8" s="62" t="s">
        <v>123</v>
      </c>
      <c r="C8" s="30" t="s">
        <v>124</v>
      </c>
      <c r="D8" s="31" t="s">
        <v>116</v>
      </c>
      <c r="E8" s="31" t="s">
        <v>118</v>
      </c>
      <c r="F8" s="31" t="s">
        <v>120</v>
      </c>
      <c r="G8" s="31" t="s">
        <v>117</v>
      </c>
      <c r="H8" s="32" t="s">
        <v>119</v>
      </c>
      <c r="I8" s="32" t="s">
        <v>121</v>
      </c>
      <c r="J8" s="32" t="s">
        <v>9</v>
      </c>
      <c r="K8" s="71" t="s">
        <v>6</v>
      </c>
    </row>
    <row r="9" spans="1:12" ht="16.5" customHeight="1">
      <c r="A9" s="35" t="s">
        <v>17</v>
      </c>
      <c r="B9" s="63" t="s">
        <v>101</v>
      </c>
      <c r="C9" s="65" t="str">
        <f>A9&amp;"-"&amp;B9</f>
        <v>Jun-13</v>
      </c>
      <c r="D9" s="36">
        <f>MASTER!$N$6</f>
        <v>13653</v>
      </c>
      <c r="E9" s="36">
        <f>ROUND(MAX(MASTER!$Z$12:$Z$89)*K9%,0)</f>
        <v>17043</v>
      </c>
      <c r="F9" s="36">
        <f>D9+E9</f>
        <v>30696</v>
      </c>
      <c r="G9" s="36">
        <f>MASTER!$N$7</f>
        <v>14918</v>
      </c>
      <c r="H9" s="36">
        <f>ROUND(MAX(MASTER!$AA$12:$AA$89)*K9%,0)</f>
        <v>17991</v>
      </c>
      <c r="I9" s="36">
        <f>G9+H9</f>
        <v>32909</v>
      </c>
      <c r="J9" s="66">
        <f>((I9-F9)/30)*21</f>
        <v>1549.1</v>
      </c>
      <c r="K9" s="72">
        <v>74.9</v>
      </c>
      <c r="L9" s="70">
        <f>MAX(MASTER!$Z$12:$Z$89)-MASTER!$N$6</f>
        <v>9102</v>
      </c>
    </row>
    <row r="10" spans="1:12" ht="15" customHeight="1">
      <c r="A10" s="35" t="s">
        <v>18</v>
      </c>
      <c r="B10" s="63" t="s">
        <v>101</v>
      </c>
      <c r="C10" s="65" t="str">
        <f>A10&amp;"-"&amp;B10</f>
        <v>Jul-13</v>
      </c>
      <c r="D10" s="36">
        <f>MASTER!$N$6</f>
        <v>13653</v>
      </c>
      <c r="E10" s="36">
        <f>ROUND(MAX(MASTER!$Z$12:$Z$89)*K10%,0)</f>
        <v>17954</v>
      </c>
      <c r="F10" s="36">
        <f aca="true" t="shared" si="0" ref="F10:F47">D10+E10</f>
        <v>31607</v>
      </c>
      <c r="G10" s="36">
        <f>MASTER!$N$7</f>
        <v>14918</v>
      </c>
      <c r="H10" s="36">
        <f>ROUND(MAX(MASTER!$AA$12:$AA$89)*K10%,0)</f>
        <v>18952</v>
      </c>
      <c r="I10" s="36">
        <f aca="true" t="shared" si="1" ref="I10:I47">G10+H10</f>
        <v>33870</v>
      </c>
      <c r="J10" s="67">
        <f aca="true" t="shared" si="2" ref="J10:J45">I10-F10</f>
        <v>2263</v>
      </c>
      <c r="K10" s="72">
        <v>78.9</v>
      </c>
      <c r="L10" s="70">
        <f>MAX(MASTER!$Z$12:$Z$89)-MASTER!$N$6</f>
        <v>9102</v>
      </c>
    </row>
    <row r="11" spans="1:12" ht="15" customHeight="1">
      <c r="A11" s="37" t="s">
        <v>19</v>
      </c>
      <c r="B11" s="64" t="s">
        <v>101</v>
      </c>
      <c r="C11" s="65" t="str">
        <f aca="true" t="shared" si="3" ref="C11:C47">A11&amp;"-"&amp;B11</f>
        <v>Aug-13</v>
      </c>
      <c r="D11" s="36">
        <f>MASTER!$N$6</f>
        <v>13653</v>
      </c>
      <c r="E11" s="36">
        <f>ROUND(MAX(MASTER!$Z$12:$Z$89)*K11%,0)</f>
        <v>17954</v>
      </c>
      <c r="F11" s="36">
        <f t="shared" si="0"/>
        <v>31607</v>
      </c>
      <c r="G11" s="36">
        <f>MASTER!$N$7</f>
        <v>14918</v>
      </c>
      <c r="H11" s="36">
        <f>ROUND(MAX(MASTER!$AA$12:$AA$89)*K11%,0)</f>
        <v>18952</v>
      </c>
      <c r="I11" s="36">
        <f t="shared" si="1"/>
        <v>33870</v>
      </c>
      <c r="J11" s="67">
        <f t="shared" si="2"/>
        <v>2263</v>
      </c>
      <c r="K11" s="72">
        <v>78.9</v>
      </c>
      <c r="L11" s="70">
        <f>MAX(MASTER!$Z$12:$Z$89)-MASTER!$N$6</f>
        <v>9102</v>
      </c>
    </row>
    <row r="12" spans="1:12" ht="15" customHeight="1">
      <c r="A12" s="37" t="s">
        <v>20</v>
      </c>
      <c r="B12" s="64" t="s">
        <v>101</v>
      </c>
      <c r="C12" s="65" t="str">
        <f t="shared" si="3"/>
        <v>Sep-13</v>
      </c>
      <c r="D12" s="36">
        <f>MASTER!$N$6</f>
        <v>13653</v>
      </c>
      <c r="E12" s="36">
        <f>ROUND(MAX(MASTER!$Z$12:$Z$89)*K12%,0)</f>
        <v>17954</v>
      </c>
      <c r="F12" s="36">
        <f t="shared" si="0"/>
        <v>31607</v>
      </c>
      <c r="G12" s="36">
        <f>MASTER!$N$7</f>
        <v>14918</v>
      </c>
      <c r="H12" s="36">
        <f>ROUND(MAX(MASTER!$AA$12:$AA$89)*K12%,0)</f>
        <v>18952</v>
      </c>
      <c r="I12" s="36">
        <f t="shared" si="1"/>
        <v>33870</v>
      </c>
      <c r="J12" s="67">
        <f t="shared" si="2"/>
        <v>2263</v>
      </c>
      <c r="K12" s="72">
        <v>78.9</v>
      </c>
      <c r="L12" s="70">
        <f>MAX(MASTER!$Z$12:$Z$89)-MASTER!$N$6</f>
        <v>9102</v>
      </c>
    </row>
    <row r="13" spans="1:12" ht="15" customHeight="1">
      <c r="A13" s="37" t="s">
        <v>0</v>
      </c>
      <c r="B13" s="64" t="s">
        <v>101</v>
      </c>
      <c r="C13" s="65" t="str">
        <f t="shared" si="3"/>
        <v>Oct-13</v>
      </c>
      <c r="D13" s="36">
        <f>MASTER!$N$6</f>
        <v>13653</v>
      </c>
      <c r="E13" s="36">
        <f>ROUND(MAX(MASTER!$Z$12:$Z$89)*K13%,0)</f>
        <v>19456</v>
      </c>
      <c r="F13" s="36">
        <f t="shared" si="0"/>
        <v>33109</v>
      </c>
      <c r="G13" s="36">
        <f>MASTER!$N$7</f>
        <v>14918</v>
      </c>
      <c r="H13" s="36">
        <f>ROUND(MAX(MASTER!$AA$12:$AA$89)*K13%,0)</f>
        <v>20537</v>
      </c>
      <c r="I13" s="36">
        <f t="shared" si="1"/>
        <v>35455</v>
      </c>
      <c r="J13" s="67">
        <f t="shared" si="2"/>
        <v>2346</v>
      </c>
      <c r="K13" s="72">
        <v>85.5</v>
      </c>
      <c r="L13" s="70">
        <f>MAX(MASTER!$Z$12:$Z$89)-MASTER!$N$6</f>
        <v>9102</v>
      </c>
    </row>
    <row r="14" spans="1:12" ht="15" customHeight="1">
      <c r="A14" s="37" t="s">
        <v>10</v>
      </c>
      <c r="B14" s="64" t="s">
        <v>101</v>
      </c>
      <c r="C14" s="65" t="str">
        <f t="shared" si="3"/>
        <v>Nov-13</v>
      </c>
      <c r="D14" s="36">
        <f>MASTER!$N$6</f>
        <v>13653</v>
      </c>
      <c r="E14" s="36">
        <f>ROUND(MAX(MASTER!$Z$12:$Z$89)*K14%,0)</f>
        <v>19456</v>
      </c>
      <c r="F14" s="36">
        <f t="shared" si="0"/>
        <v>33109</v>
      </c>
      <c r="G14" s="36">
        <f>MASTER!$N$7</f>
        <v>14918</v>
      </c>
      <c r="H14" s="36">
        <f>ROUND(MAX(MASTER!$AA$12:$AA$89)*K14%,0)</f>
        <v>20537</v>
      </c>
      <c r="I14" s="36">
        <f t="shared" si="1"/>
        <v>35455</v>
      </c>
      <c r="J14" s="67">
        <f t="shared" si="2"/>
        <v>2346</v>
      </c>
      <c r="K14" s="72">
        <v>85.5</v>
      </c>
      <c r="L14" s="70">
        <f>MAX(MASTER!$Z$12:$Z$89)-MASTER!$N$6</f>
        <v>9102</v>
      </c>
    </row>
    <row r="15" spans="1:12" ht="15" customHeight="1">
      <c r="A15" s="37" t="s">
        <v>11</v>
      </c>
      <c r="B15" s="64" t="s">
        <v>101</v>
      </c>
      <c r="C15" s="65" t="str">
        <f t="shared" si="3"/>
        <v>Dec-13</v>
      </c>
      <c r="D15" s="36">
        <f>MASTER!$N$6</f>
        <v>13653</v>
      </c>
      <c r="E15" s="36">
        <f>ROUND(MAX(MASTER!$Z$12:$Z$89)*K15%,0)</f>
        <v>19456</v>
      </c>
      <c r="F15" s="36">
        <f t="shared" si="0"/>
        <v>33109</v>
      </c>
      <c r="G15" s="36">
        <f>MASTER!$N$7</f>
        <v>14918</v>
      </c>
      <c r="H15" s="36">
        <f>ROUND(MAX(MASTER!$AA$12:$AA$89)*K15%,0)</f>
        <v>20537</v>
      </c>
      <c r="I15" s="36">
        <f t="shared" si="1"/>
        <v>35455</v>
      </c>
      <c r="J15" s="67">
        <f t="shared" si="2"/>
        <v>2346</v>
      </c>
      <c r="K15" s="72">
        <v>85.5</v>
      </c>
      <c r="L15" s="70">
        <f>MAX(MASTER!$Z$12:$Z$89)-MASTER!$N$6</f>
        <v>9102</v>
      </c>
    </row>
    <row r="16" spans="1:12" ht="15" customHeight="1">
      <c r="A16" s="37" t="s">
        <v>12</v>
      </c>
      <c r="B16" s="64" t="s">
        <v>113</v>
      </c>
      <c r="C16" s="65" t="str">
        <f t="shared" si="3"/>
        <v>Jan-14</v>
      </c>
      <c r="D16" s="36">
        <f>MASTER!$N$6</f>
        <v>13653</v>
      </c>
      <c r="E16" s="36">
        <f>ROUND(MAX(MASTER!$Z$12:$Z$89)*K16%,0)</f>
        <v>20593</v>
      </c>
      <c r="F16" s="36">
        <f t="shared" si="0"/>
        <v>34246</v>
      </c>
      <c r="G16" s="36">
        <f>MASTER!$N$7</f>
        <v>14918</v>
      </c>
      <c r="H16" s="36">
        <f>ROUND(MAX(MASTER!$AA$12:$AA$89)*K16%,0)</f>
        <v>21738</v>
      </c>
      <c r="I16" s="36">
        <f t="shared" si="1"/>
        <v>36656</v>
      </c>
      <c r="J16" s="67">
        <f t="shared" si="2"/>
        <v>2410</v>
      </c>
      <c r="K16" s="72">
        <v>90.5</v>
      </c>
      <c r="L16" s="70">
        <f>MAX(MASTER!$Z$12:$Z$89)-MASTER!$N$6</f>
        <v>9102</v>
      </c>
    </row>
    <row r="17" spans="1:12" ht="15" customHeight="1">
      <c r="A17" s="37" t="s">
        <v>13</v>
      </c>
      <c r="B17" s="64" t="s">
        <v>113</v>
      </c>
      <c r="C17" s="65" t="str">
        <f t="shared" si="3"/>
        <v>Feb-14</v>
      </c>
      <c r="D17" s="36">
        <f>MASTER!$N$6</f>
        <v>13653</v>
      </c>
      <c r="E17" s="36">
        <f>ROUND(MAX(MASTER!$Z$12:$Z$89)*K17%,0)</f>
        <v>20593</v>
      </c>
      <c r="F17" s="36">
        <f t="shared" si="0"/>
        <v>34246</v>
      </c>
      <c r="G17" s="36">
        <f>MASTER!$N$7</f>
        <v>14918</v>
      </c>
      <c r="H17" s="36">
        <f>ROUND(MAX(MASTER!$AA$12:$AA$89)*K17%,0)</f>
        <v>21738</v>
      </c>
      <c r="I17" s="36">
        <f t="shared" si="1"/>
        <v>36656</v>
      </c>
      <c r="J17" s="67">
        <f t="shared" si="2"/>
        <v>2410</v>
      </c>
      <c r="K17" s="72">
        <v>90.5</v>
      </c>
      <c r="L17" s="70">
        <f>MAX(MASTER!$Z$12:$Z$89)-MASTER!$N$6</f>
        <v>9102</v>
      </c>
    </row>
    <row r="18" spans="1:12" ht="15" customHeight="1">
      <c r="A18" s="37" t="s">
        <v>14</v>
      </c>
      <c r="B18" s="64" t="s">
        <v>113</v>
      </c>
      <c r="C18" s="65" t="str">
        <f t="shared" si="3"/>
        <v>Mar-14</v>
      </c>
      <c r="D18" s="36">
        <f>MASTER!$N$6</f>
        <v>13653</v>
      </c>
      <c r="E18" s="36">
        <f>ROUND(MAX(MASTER!$Z$12:$Z$89)*K18%,0)</f>
        <v>20593</v>
      </c>
      <c r="F18" s="36">
        <f t="shared" si="0"/>
        <v>34246</v>
      </c>
      <c r="G18" s="36">
        <f>MASTER!$N$7</f>
        <v>14918</v>
      </c>
      <c r="H18" s="36">
        <f>ROUND(MAX(MASTER!$AA$12:$AA$89)*K18%,0)</f>
        <v>21738</v>
      </c>
      <c r="I18" s="36">
        <f t="shared" si="1"/>
        <v>36656</v>
      </c>
      <c r="J18" s="67">
        <f t="shared" si="2"/>
        <v>2410</v>
      </c>
      <c r="K18" s="72">
        <v>90.5</v>
      </c>
      <c r="L18" s="70">
        <f>MAX(MASTER!$Z$12:$Z$89)-MASTER!$N$6</f>
        <v>9102</v>
      </c>
    </row>
    <row r="19" spans="1:12" ht="15" customHeight="1">
      <c r="A19" s="37" t="s">
        <v>15</v>
      </c>
      <c r="B19" s="64" t="s">
        <v>113</v>
      </c>
      <c r="C19" s="65" t="str">
        <f t="shared" si="3"/>
        <v>Apr-14</v>
      </c>
      <c r="D19" s="36">
        <f>MASTER!$N$6</f>
        <v>13653</v>
      </c>
      <c r="E19" s="36">
        <f>ROUND(MAX(MASTER!$Z$12:$Z$89)*K19%,0)</f>
        <v>20115</v>
      </c>
      <c r="F19" s="36">
        <f t="shared" si="0"/>
        <v>33768</v>
      </c>
      <c r="G19" s="36">
        <f>MASTER!$N$7</f>
        <v>14918</v>
      </c>
      <c r="H19" s="36">
        <f>ROUND(MAX(MASTER!$AA$12:$AA$89)*K19%,0)</f>
        <v>21234</v>
      </c>
      <c r="I19" s="36">
        <f t="shared" si="1"/>
        <v>36152</v>
      </c>
      <c r="J19" s="67">
        <f t="shared" si="2"/>
        <v>2384</v>
      </c>
      <c r="K19" s="72">
        <v>88.4</v>
      </c>
      <c r="L19" s="70">
        <f>MAX(MASTER!$Z$12:$Z$89)-MASTER!$N$6</f>
        <v>9102</v>
      </c>
    </row>
    <row r="20" spans="1:12" ht="15" customHeight="1">
      <c r="A20" s="37" t="s">
        <v>16</v>
      </c>
      <c r="B20" s="64" t="s">
        <v>113</v>
      </c>
      <c r="C20" s="65" t="str">
        <f t="shared" si="3"/>
        <v>May-14</v>
      </c>
      <c r="D20" s="36">
        <f>MASTER!$N$6</f>
        <v>13653</v>
      </c>
      <c r="E20" s="36">
        <f>ROUND(MAX(MASTER!$Z$12:$Z$89)*K20%,0)</f>
        <v>20115</v>
      </c>
      <c r="F20" s="36">
        <f t="shared" si="0"/>
        <v>33768</v>
      </c>
      <c r="G20" s="36">
        <f>MASTER!$N$7</f>
        <v>14918</v>
      </c>
      <c r="H20" s="36">
        <f>ROUND(MAX(MASTER!$AA$12:$AA$89)*K20%,0)</f>
        <v>21234</v>
      </c>
      <c r="I20" s="36">
        <f t="shared" si="1"/>
        <v>36152</v>
      </c>
      <c r="J20" s="67">
        <f t="shared" si="2"/>
        <v>2384</v>
      </c>
      <c r="K20" s="72">
        <v>88.4</v>
      </c>
      <c r="L20" s="70">
        <f>MAX(MASTER!$Z$12:$Z$89)-MASTER!$N$6</f>
        <v>9102</v>
      </c>
    </row>
    <row r="21" spans="1:12" ht="15" customHeight="1">
      <c r="A21" s="37" t="s">
        <v>17</v>
      </c>
      <c r="B21" s="64" t="s">
        <v>113</v>
      </c>
      <c r="C21" s="65" t="str">
        <f t="shared" si="3"/>
        <v>Jun-14</v>
      </c>
      <c r="D21" s="36">
        <f>MASTER!$N$6</f>
        <v>13653</v>
      </c>
      <c r="E21" s="36">
        <f>ROUND(MAX(MASTER!$Z$12:$Z$89)*K21%,0)</f>
        <v>20115</v>
      </c>
      <c r="F21" s="36">
        <f t="shared" si="0"/>
        <v>33768</v>
      </c>
      <c r="G21" s="36">
        <f>MASTER!$N$7</f>
        <v>14918</v>
      </c>
      <c r="H21" s="36">
        <f>ROUND(MAX(MASTER!$AA$12:$AA$89)*K21%,0)</f>
        <v>21234</v>
      </c>
      <c r="I21" s="36">
        <f t="shared" si="1"/>
        <v>36152</v>
      </c>
      <c r="J21" s="67">
        <f t="shared" si="2"/>
        <v>2384</v>
      </c>
      <c r="K21" s="72">
        <v>88.4</v>
      </c>
      <c r="L21" s="70">
        <f>MAX(MASTER!$Z$12:$Z$89)-MASTER!$N$6</f>
        <v>9102</v>
      </c>
    </row>
    <row r="22" spans="1:12" ht="15" customHeight="1">
      <c r="A22" s="37" t="s">
        <v>18</v>
      </c>
      <c r="B22" s="64" t="s">
        <v>113</v>
      </c>
      <c r="C22" s="65" t="str">
        <f t="shared" si="3"/>
        <v>Jul-14</v>
      </c>
      <c r="D22" s="36">
        <f>MASTER!$N$6</f>
        <v>13653</v>
      </c>
      <c r="E22" s="36">
        <f>ROUND(MAX(MASTER!$Z$12:$Z$89)*K22%,0)</f>
        <v>20775</v>
      </c>
      <c r="F22" s="36">
        <f t="shared" si="0"/>
        <v>34428</v>
      </c>
      <c r="G22" s="36">
        <f>MASTER!$N$7</f>
        <v>14918</v>
      </c>
      <c r="H22" s="36">
        <f>ROUND(MAX(MASTER!$AA$12:$AA$89)*K22%,0)</f>
        <v>21930</v>
      </c>
      <c r="I22" s="36">
        <f t="shared" si="1"/>
        <v>36848</v>
      </c>
      <c r="J22" s="67">
        <f t="shared" si="2"/>
        <v>2420</v>
      </c>
      <c r="K22" s="72">
        <v>91.3</v>
      </c>
      <c r="L22" s="70">
        <f>MAX(MASTER!$Z$12:$Z$89)-MASTER!$N$6</f>
        <v>9102</v>
      </c>
    </row>
    <row r="23" spans="1:12" ht="15" customHeight="1">
      <c r="A23" s="37" t="s">
        <v>19</v>
      </c>
      <c r="B23" s="64" t="s">
        <v>113</v>
      </c>
      <c r="C23" s="65" t="str">
        <f t="shared" si="3"/>
        <v>Aug-14</v>
      </c>
      <c r="D23" s="36">
        <f>MASTER!$N$6</f>
        <v>13653</v>
      </c>
      <c r="E23" s="36">
        <f>ROUND(MAX(MASTER!$Z$12:$Z$89)*K23%,0)</f>
        <v>20775</v>
      </c>
      <c r="F23" s="36">
        <f t="shared" si="0"/>
        <v>34428</v>
      </c>
      <c r="G23" s="36">
        <f>MASTER!$N$7</f>
        <v>14918</v>
      </c>
      <c r="H23" s="36">
        <f>ROUND(MAX(MASTER!$AA$12:$AA$89)*K23%,0)</f>
        <v>21930</v>
      </c>
      <c r="I23" s="36">
        <f t="shared" si="1"/>
        <v>36848</v>
      </c>
      <c r="J23" s="67">
        <f t="shared" si="2"/>
        <v>2420</v>
      </c>
      <c r="K23" s="72">
        <v>91.3</v>
      </c>
      <c r="L23" s="70">
        <f>MAX(MASTER!$Z$12:$Z$89)-MASTER!$N$6</f>
        <v>9102</v>
      </c>
    </row>
    <row r="24" spans="1:12" ht="15" customHeight="1">
      <c r="A24" s="37" t="s">
        <v>20</v>
      </c>
      <c r="B24" s="64" t="s">
        <v>113</v>
      </c>
      <c r="C24" s="65" t="str">
        <f t="shared" si="3"/>
        <v>Sep-14</v>
      </c>
      <c r="D24" s="36">
        <f>MASTER!$N$6</f>
        <v>13653</v>
      </c>
      <c r="E24" s="36">
        <f>ROUND(MAX(MASTER!$Z$12:$Z$89)*K24%,0)</f>
        <v>20775</v>
      </c>
      <c r="F24" s="36">
        <f t="shared" si="0"/>
        <v>34428</v>
      </c>
      <c r="G24" s="36">
        <f>MASTER!$N$7</f>
        <v>14918</v>
      </c>
      <c r="H24" s="36">
        <f>ROUND(MAX(MASTER!$AA$12:$AA$89)*K24%,0)</f>
        <v>21930</v>
      </c>
      <c r="I24" s="36">
        <f t="shared" si="1"/>
        <v>36848</v>
      </c>
      <c r="J24" s="67">
        <f t="shared" si="2"/>
        <v>2420</v>
      </c>
      <c r="K24" s="72">
        <v>91.3</v>
      </c>
      <c r="L24" s="70">
        <f>MAX(MASTER!$Z$12:$Z$89)-MASTER!$N$6</f>
        <v>9102</v>
      </c>
    </row>
    <row r="25" spans="1:12" ht="15" customHeight="1">
      <c r="A25" s="37" t="s">
        <v>0</v>
      </c>
      <c r="B25" s="64" t="s">
        <v>113</v>
      </c>
      <c r="C25" s="65" t="str">
        <f t="shared" si="3"/>
        <v>Oct-14</v>
      </c>
      <c r="D25" s="36">
        <f>MASTER!$N$6</f>
        <v>13653</v>
      </c>
      <c r="E25" s="36">
        <f>ROUND(MAX(MASTER!$Z$12:$Z$89)*K25%,0)</f>
        <v>22323</v>
      </c>
      <c r="F25" s="36">
        <f t="shared" si="0"/>
        <v>35976</v>
      </c>
      <c r="G25" s="36">
        <f>MASTER!$N$7</f>
        <v>14918</v>
      </c>
      <c r="H25" s="36">
        <f>ROUND(MAX(MASTER!$AA$12:$AA$89)*K25%,0)</f>
        <v>23564</v>
      </c>
      <c r="I25" s="36">
        <f t="shared" si="1"/>
        <v>38482</v>
      </c>
      <c r="J25" s="67">
        <f t="shared" si="2"/>
        <v>2506</v>
      </c>
      <c r="K25" s="72">
        <v>98.1</v>
      </c>
      <c r="L25" s="70">
        <f>MAX(MASTER!$Z$12:$Z$89)-MASTER!$N$6</f>
        <v>9102</v>
      </c>
    </row>
    <row r="26" spans="1:12" ht="15" customHeight="1">
      <c r="A26" s="37" t="s">
        <v>10</v>
      </c>
      <c r="B26" s="64" t="s">
        <v>113</v>
      </c>
      <c r="C26" s="65" t="str">
        <f t="shared" si="3"/>
        <v>Nov-14</v>
      </c>
      <c r="D26" s="36">
        <f>MASTER!$N$6</f>
        <v>13653</v>
      </c>
      <c r="E26" s="36">
        <f>ROUND(MAX(MASTER!$Z$12:$Z$89)*K26%,0)</f>
        <v>22323</v>
      </c>
      <c r="F26" s="36">
        <f t="shared" si="0"/>
        <v>35976</v>
      </c>
      <c r="G26" s="36">
        <f>MASTER!$N$7</f>
        <v>14918</v>
      </c>
      <c r="H26" s="36">
        <f>ROUND(MAX(MASTER!$AA$12:$AA$89)*K26%,0)</f>
        <v>23564</v>
      </c>
      <c r="I26" s="36">
        <f t="shared" si="1"/>
        <v>38482</v>
      </c>
      <c r="J26" s="67">
        <f t="shared" si="2"/>
        <v>2506</v>
      </c>
      <c r="K26" s="72">
        <v>98.1</v>
      </c>
      <c r="L26" s="70">
        <f>MAX(MASTER!$Z$12:$Z$89)-MASTER!$N$6</f>
        <v>9102</v>
      </c>
    </row>
    <row r="27" spans="1:12" ht="15" customHeight="1">
      <c r="A27" s="37" t="s">
        <v>11</v>
      </c>
      <c r="B27" s="64" t="s">
        <v>113</v>
      </c>
      <c r="C27" s="65" t="str">
        <f t="shared" si="3"/>
        <v>Dec-14</v>
      </c>
      <c r="D27" s="36">
        <f>MASTER!$N$6</f>
        <v>13653</v>
      </c>
      <c r="E27" s="36">
        <f>ROUND(MAX(MASTER!$Z$12:$Z$89)*K27%,0)</f>
        <v>22323</v>
      </c>
      <c r="F27" s="36">
        <f t="shared" si="0"/>
        <v>35976</v>
      </c>
      <c r="G27" s="36">
        <f>MASTER!$N$7</f>
        <v>14918</v>
      </c>
      <c r="H27" s="36">
        <f>ROUND(MAX(MASTER!$AA$12:$AA$89)*K27%,0)</f>
        <v>23564</v>
      </c>
      <c r="I27" s="36">
        <f t="shared" si="1"/>
        <v>38482</v>
      </c>
      <c r="J27" s="67">
        <f t="shared" si="2"/>
        <v>2506</v>
      </c>
      <c r="K27" s="72">
        <v>98.1</v>
      </c>
      <c r="L27" s="70">
        <f>MAX(MASTER!$Z$12:$Z$89)-MASTER!$N$6</f>
        <v>9102</v>
      </c>
    </row>
    <row r="28" spans="1:12" ht="15" customHeight="1">
      <c r="A28" s="37" t="s">
        <v>12</v>
      </c>
      <c r="B28" s="64" t="s">
        <v>114</v>
      </c>
      <c r="C28" s="65" t="str">
        <f t="shared" si="3"/>
        <v>Jan-15</v>
      </c>
      <c r="D28" s="36">
        <f>MASTER!$N$6</f>
        <v>13653</v>
      </c>
      <c r="E28" s="36">
        <f>ROUND(MAX(MASTER!$Z$12:$Z$89)*K28%,0)</f>
        <v>22823</v>
      </c>
      <c r="F28" s="36">
        <f t="shared" si="0"/>
        <v>36476</v>
      </c>
      <c r="G28" s="36">
        <f>MASTER!$N$7</f>
        <v>14918</v>
      </c>
      <c r="H28" s="36">
        <f>ROUND(MAX(MASTER!$AA$12:$AA$89)*K28%,0)</f>
        <v>24092</v>
      </c>
      <c r="I28" s="36">
        <f t="shared" si="1"/>
        <v>39010</v>
      </c>
      <c r="J28" s="67">
        <f t="shared" si="2"/>
        <v>2534</v>
      </c>
      <c r="K28" s="72">
        <v>100.3</v>
      </c>
      <c r="L28" s="70">
        <f>MAX(MASTER!$Z$12:$Z$89)-MASTER!$N$6</f>
        <v>9102</v>
      </c>
    </row>
    <row r="29" spans="1:12" ht="15" customHeight="1">
      <c r="A29" s="37" t="s">
        <v>13</v>
      </c>
      <c r="B29" s="64" t="s">
        <v>114</v>
      </c>
      <c r="C29" s="65" t="str">
        <f t="shared" si="3"/>
        <v>Feb-15</v>
      </c>
      <c r="D29" s="36">
        <f>MASTER!$N$6</f>
        <v>13653</v>
      </c>
      <c r="E29" s="36">
        <f>ROUND(MAX(MASTER!$Z$12:$Z$89)*K29%,0)</f>
        <v>22823</v>
      </c>
      <c r="F29" s="36">
        <f t="shared" si="0"/>
        <v>36476</v>
      </c>
      <c r="G29" s="36">
        <f>MASTER!$N$7</f>
        <v>14918</v>
      </c>
      <c r="H29" s="36">
        <f>ROUND(MAX(MASTER!$AA$12:$AA$89)*K29%,0)</f>
        <v>24092</v>
      </c>
      <c r="I29" s="36">
        <f t="shared" si="1"/>
        <v>39010</v>
      </c>
      <c r="J29" s="67">
        <f t="shared" si="2"/>
        <v>2534</v>
      </c>
      <c r="K29" s="72">
        <v>100.3</v>
      </c>
      <c r="L29" s="70">
        <f>MAX(MASTER!$Z$12:$Z$89)-MASTER!$N$6</f>
        <v>9102</v>
      </c>
    </row>
    <row r="30" spans="1:12" ht="15" customHeight="1">
      <c r="A30" s="37" t="s">
        <v>14</v>
      </c>
      <c r="B30" s="64" t="s">
        <v>114</v>
      </c>
      <c r="C30" s="65" t="str">
        <f t="shared" si="3"/>
        <v>Mar-15</v>
      </c>
      <c r="D30" s="36">
        <f>MASTER!$N$6</f>
        <v>13653</v>
      </c>
      <c r="E30" s="36">
        <f>ROUND(MAX(MASTER!$Z$12:$Z$89)*K30%,0)</f>
        <v>22823</v>
      </c>
      <c r="F30" s="36">
        <f t="shared" si="0"/>
        <v>36476</v>
      </c>
      <c r="G30" s="36">
        <f>MASTER!$N$7</f>
        <v>14918</v>
      </c>
      <c r="H30" s="36">
        <f>ROUND(MAX(MASTER!$AA$12:$AA$89)*K30%,0)</f>
        <v>24092</v>
      </c>
      <c r="I30" s="36">
        <f t="shared" si="1"/>
        <v>39010</v>
      </c>
      <c r="J30" s="67">
        <f t="shared" si="2"/>
        <v>2534</v>
      </c>
      <c r="K30" s="72">
        <v>100.3</v>
      </c>
      <c r="L30" s="70">
        <f>MAX(MASTER!$Z$12:$Z$89)-MASTER!$N$6</f>
        <v>9102</v>
      </c>
    </row>
    <row r="31" spans="1:12" ht="15" customHeight="1">
      <c r="A31" s="37" t="s">
        <v>15</v>
      </c>
      <c r="B31" s="64" t="s">
        <v>114</v>
      </c>
      <c r="C31" s="65" t="str">
        <f t="shared" si="3"/>
        <v>Apr-15</v>
      </c>
      <c r="D31" s="36">
        <f>MASTER!$N$6</f>
        <v>13653</v>
      </c>
      <c r="E31" s="36">
        <f>ROUND(MAX(MASTER!$Z$12:$Z$89)*K31%,0)</f>
        <v>22869</v>
      </c>
      <c r="F31" s="36">
        <f t="shared" si="0"/>
        <v>36522</v>
      </c>
      <c r="G31" s="36">
        <f>MASTER!$N$7</f>
        <v>14918</v>
      </c>
      <c r="H31" s="36">
        <f>ROUND(MAX(MASTER!$AA$12:$AA$89)*K31%,0)</f>
        <v>24140</v>
      </c>
      <c r="I31" s="36">
        <f t="shared" si="1"/>
        <v>39058</v>
      </c>
      <c r="J31" s="67">
        <f t="shared" si="2"/>
        <v>2536</v>
      </c>
      <c r="K31" s="72">
        <v>100.5</v>
      </c>
      <c r="L31" s="70">
        <f>MAX(MASTER!$Z$12:$Z$89)-MASTER!$N$6</f>
        <v>9102</v>
      </c>
    </row>
    <row r="32" spans="1:12" ht="15" customHeight="1">
      <c r="A32" s="37" t="s">
        <v>16</v>
      </c>
      <c r="B32" s="64" t="s">
        <v>114</v>
      </c>
      <c r="C32" s="65" t="str">
        <f t="shared" si="3"/>
        <v>May-15</v>
      </c>
      <c r="D32" s="36">
        <f>MASTER!$N$6</f>
        <v>13653</v>
      </c>
      <c r="E32" s="36">
        <f>ROUND(MAX(MASTER!$Z$12:$Z$89)*K32%,0)</f>
        <v>22869</v>
      </c>
      <c r="F32" s="36">
        <f t="shared" si="0"/>
        <v>36522</v>
      </c>
      <c r="G32" s="36">
        <f>MASTER!$N$7</f>
        <v>14918</v>
      </c>
      <c r="H32" s="36">
        <f>ROUND(MAX(MASTER!$AA$12:$AA$89)*K32%,0)</f>
        <v>24140</v>
      </c>
      <c r="I32" s="36">
        <f t="shared" si="1"/>
        <v>39058</v>
      </c>
      <c r="J32" s="67">
        <f t="shared" si="2"/>
        <v>2536</v>
      </c>
      <c r="K32" s="72">
        <v>100.5</v>
      </c>
      <c r="L32" s="70">
        <f>MAX(MASTER!$Z$12:$Z$89)-MASTER!$N$6</f>
        <v>9102</v>
      </c>
    </row>
    <row r="33" spans="1:12" ht="15" customHeight="1">
      <c r="A33" s="37" t="s">
        <v>17</v>
      </c>
      <c r="B33" s="64" t="s">
        <v>114</v>
      </c>
      <c r="C33" s="65" t="str">
        <f t="shared" si="3"/>
        <v>Jun-15</v>
      </c>
      <c r="D33" s="36">
        <f>MASTER!$N$6</f>
        <v>13653</v>
      </c>
      <c r="E33" s="36">
        <f>ROUND(MAX(MASTER!$Z$12:$Z$89)*K33%,0)</f>
        <v>22869</v>
      </c>
      <c r="F33" s="36">
        <f t="shared" si="0"/>
        <v>36522</v>
      </c>
      <c r="G33" s="36">
        <f>MASTER!$N$7</f>
        <v>14918</v>
      </c>
      <c r="H33" s="36">
        <f>ROUND(MAX(MASTER!$AA$12:$AA$89)*K33%,0)</f>
        <v>24140</v>
      </c>
      <c r="I33" s="36">
        <f t="shared" si="1"/>
        <v>39058</v>
      </c>
      <c r="J33" s="67">
        <f t="shared" si="2"/>
        <v>2536</v>
      </c>
      <c r="K33" s="72">
        <v>100.5</v>
      </c>
      <c r="L33" s="70">
        <f>MAX(MASTER!$Z$12:$Z$89)-MASTER!$N$6</f>
        <v>9102</v>
      </c>
    </row>
    <row r="34" spans="1:12" ht="15" customHeight="1">
      <c r="A34" s="37" t="s">
        <v>18</v>
      </c>
      <c r="B34" s="64" t="s">
        <v>114</v>
      </c>
      <c r="C34" s="65" t="str">
        <f t="shared" si="3"/>
        <v>Jul-15</v>
      </c>
      <c r="D34" s="36">
        <f>MASTER!$N$6</f>
        <v>13653</v>
      </c>
      <c r="E34" s="36">
        <f>ROUND(MAX(MASTER!$Z$12:$Z$89)*K34%,0)</f>
        <v>23347</v>
      </c>
      <c r="F34" s="36">
        <f t="shared" si="0"/>
        <v>37000</v>
      </c>
      <c r="G34" s="36">
        <f>MASTER!$N$7</f>
        <v>14918</v>
      </c>
      <c r="H34" s="36">
        <f>ROUND(MAX(MASTER!$AA$12:$AA$89)*K34%,0)</f>
        <v>24645</v>
      </c>
      <c r="I34" s="36">
        <f t="shared" si="1"/>
        <v>39563</v>
      </c>
      <c r="J34" s="67">
        <f t="shared" si="2"/>
        <v>2563</v>
      </c>
      <c r="K34" s="72">
        <v>102.6</v>
      </c>
      <c r="L34" s="70">
        <f>MAX(MASTER!$Z$12:$Z$89)-MASTER!$N$6</f>
        <v>9102</v>
      </c>
    </row>
    <row r="35" spans="1:12" ht="15" customHeight="1">
      <c r="A35" s="37" t="s">
        <v>19</v>
      </c>
      <c r="B35" s="64" t="s">
        <v>114</v>
      </c>
      <c r="C35" s="65" t="str">
        <f t="shared" si="3"/>
        <v>Aug-15</v>
      </c>
      <c r="D35" s="36">
        <f>MASTER!$N$6</f>
        <v>13653</v>
      </c>
      <c r="E35" s="36">
        <f>ROUND(MAX(MASTER!$Z$12:$Z$89)*K35%,0)</f>
        <v>23347</v>
      </c>
      <c r="F35" s="36">
        <f t="shared" si="0"/>
        <v>37000</v>
      </c>
      <c r="G35" s="36">
        <f>MASTER!$N$7</f>
        <v>14918</v>
      </c>
      <c r="H35" s="36">
        <f>ROUND(MAX(MASTER!$AA$12:$AA$89)*K35%,0)</f>
        <v>24645</v>
      </c>
      <c r="I35" s="36">
        <f t="shared" si="1"/>
        <v>39563</v>
      </c>
      <c r="J35" s="67">
        <f t="shared" si="2"/>
        <v>2563</v>
      </c>
      <c r="K35" s="72">
        <v>102.6</v>
      </c>
      <c r="L35" s="70">
        <f>MAX(MASTER!$Z$12:$Z$89)-MASTER!$N$6</f>
        <v>9102</v>
      </c>
    </row>
    <row r="36" spans="1:12" ht="15" customHeight="1">
      <c r="A36" s="37" t="s">
        <v>20</v>
      </c>
      <c r="B36" s="64" t="s">
        <v>114</v>
      </c>
      <c r="C36" s="65" t="str">
        <f t="shared" si="3"/>
        <v>Sep-15</v>
      </c>
      <c r="D36" s="36">
        <f>MASTER!$N$6</f>
        <v>13653</v>
      </c>
      <c r="E36" s="36">
        <f>ROUND(MAX(MASTER!$Z$12:$Z$89)*K36%,0)</f>
        <v>23347</v>
      </c>
      <c r="F36" s="36">
        <f t="shared" si="0"/>
        <v>37000</v>
      </c>
      <c r="G36" s="36">
        <f>MASTER!$N$7</f>
        <v>14918</v>
      </c>
      <c r="H36" s="36">
        <f>ROUND(MAX(MASTER!$AA$12:$AA$89)*K36%,0)</f>
        <v>24645</v>
      </c>
      <c r="I36" s="36">
        <f t="shared" si="1"/>
        <v>39563</v>
      </c>
      <c r="J36" s="67">
        <f t="shared" si="2"/>
        <v>2563</v>
      </c>
      <c r="K36" s="72">
        <v>102.6</v>
      </c>
      <c r="L36" s="70">
        <f>MAX(MASTER!$Z$12:$Z$89)-MASTER!$N$6</f>
        <v>9102</v>
      </c>
    </row>
    <row r="37" spans="1:12" ht="15" customHeight="1">
      <c r="A37" s="37" t="s">
        <v>0</v>
      </c>
      <c r="B37" s="64" t="s">
        <v>114</v>
      </c>
      <c r="C37" s="65" t="str">
        <f t="shared" si="3"/>
        <v>Oct-15</v>
      </c>
      <c r="D37" s="36">
        <f>MASTER!$N$6</f>
        <v>13653</v>
      </c>
      <c r="E37" s="36">
        <f>ROUND(MAX(MASTER!$Z$12:$Z$89)*K37%,0)</f>
        <v>24553</v>
      </c>
      <c r="F37" s="36">
        <f t="shared" si="0"/>
        <v>38206</v>
      </c>
      <c r="G37" s="36">
        <f>MASTER!$N$7</f>
        <v>14918</v>
      </c>
      <c r="H37" s="36">
        <f>ROUND(MAX(MASTER!$AA$12:$AA$89)*K37%,0)</f>
        <v>25918</v>
      </c>
      <c r="I37" s="36">
        <f t="shared" si="1"/>
        <v>40836</v>
      </c>
      <c r="J37" s="67">
        <f t="shared" si="2"/>
        <v>2630</v>
      </c>
      <c r="K37" s="72">
        <v>107.9</v>
      </c>
      <c r="L37" s="70">
        <f>MAX(MASTER!$Z$12:$Z$89)-MASTER!$N$6</f>
        <v>9102</v>
      </c>
    </row>
    <row r="38" spans="1:12" ht="15" customHeight="1">
      <c r="A38" s="37" t="s">
        <v>10</v>
      </c>
      <c r="B38" s="64" t="s">
        <v>114</v>
      </c>
      <c r="C38" s="65" t="str">
        <f t="shared" si="3"/>
        <v>Nov-15</v>
      </c>
      <c r="D38" s="36">
        <f>MASTER!$N$6</f>
        <v>13653</v>
      </c>
      <c r="E38" s="36">
        <f>ROUND(MAX(MASTER!$Z$12:$Z$89)*K38%,0)</f>
        <v>24553</v>
      </c>
      <c r="F38" s="36">
        <f t="shared" si="0"/>
        <v>38206</v>
      </c>
      <c r="G38" s="36">
        <f>MASTER!$N$7</f>
        <v>14918</v>
      </c>
      <c r="H38" s="36">
        <f>ROUND(MAX(MASTER!$AA$12:$AA$89)*K38%,0)</f>
        <v>25918</v>
      </c>
      <c r="I38" s="36">
        <f t="shared" si="1"/>
        <v>40836</v>
      </c>
      <c r="J38" s="67">
        <f t="shared" si="2"/>
        <v>2630</v>
      </c>
      <c r="K38" s="72">
        <v>107.9</v>
      </c>
      <c r="L38" s="70">
        <f>MAX(MASTER!$Z$12:$Z$89)-MASTER!$N$6</f>
        <v>9102</v>
      </c>
    </row>
    <row r="39" spans="1:12" ht="15" customHeight="1">
      <c r="A39" s="37" t="s">
        <v>11</v>
      </c>
      <c r="B39" s="64" t="s">
        <v>114</v>
      </c>
      <c r="C39" s="65" t="str">
        <f t="shared" si="3"/>
        <v>Dec-15</v>
      </c>
      <c r="D39" s="36">
        <f>MASTER!$N$6</f>
        <v>13653</v>
      </c>
      <c r="E39" s="36">
        <f>ROUND(MAX(MASTER!$Z$12:$Z$89)*K39%,0)</f>
        <v>24553</v>
      </c>
      <c r="F39" s="36">
        <f t="shared" si="0"/>
        <v>38206</v>
      </c>
      <c r="G39" s="36">
        <f>MASTER!$N$7</f>
        <v>14918</v>
      </c>
      <c r="H39" s="36">
        <f>ROUND(MAX(MASTER!$AA$12:$AA$89)*K39%,0)</f>
        <v>25918</v>
      </c>
      <c r="I39" s="36">
        <f t="shared" si="1"/>
        <v>40836</v>
      </c>
      <c r="J39" s="67">
        <f t="shared" si="2"/>
        <v>2630</v>
      </c>
      <c r="K39" s="72">
        <v>107.9</v>
      </c>
      <c r="L39" s="70">
        <f>MAX(MASTER!$Z$12:$Z$89)-MASTER!$N$6</f>
        <v>9102</v>
      </c>
    </row>
    <row r="40" spans="1:12" ht="15" customHeight="1">
      <c r="A40" s="37" t="s">
        <v>12</v>
      </c>
      <c r="B40" s="64" t="s">
        <v>115</v>
      </c>
      <c r="C40" s="65" t="str">
        <f t="shared" si="3"/>
        <v>Jan-16</v>
      </c>
      <c r="D40" s="36">
        <f>MASTER!$N$6</f>
        <v>13653</v>
      </c>
      <c r="E40" s="36">
        <f>ROUND(MAX(MASTER!$Z$12:$Z$89)*K40%,0)</f>
        <v>25577</v>
      </c>
      <c r="F40" s="36">
        <f t="shared" si="0"/>
        <v>39230</v>
      </c>
      <c r="G40" s="36">
        <f>MASTER!$N$7</f>
        <v>14918</v>
      </c>
      <c r="H40" s="36">
        <f>ROUND(MAX(MASTER!$AA$12:$AA$89)*K40%,0)</f>
        <v>26998</v>
      </c>
      <c r="I40" s="36">
        <f t="shared" si="1"/>
        <v>41916</v>
      </c>
      <c r="J40" s="67">
        <f t="shared" si="2"/>
        <v>2686</v>
      </c>
      <c r="K40" s="72">
        <v>112.4</v>
      </c>
      <c r="L40" s="70">
        <f>MAX(MASTER!$Z$12:$Z$89)-MASTER!$N$6</f>
        <v>9102</v>
      </c>
    </row>
    <row r="41" spans="1:12" ht="15" customHeight="1">
      <c r="A41" s="37" t="s">
        <v>13</v>
      </c>
      <c r="B41" s="64" t="s">
        <v>115</v>
      </c>
      <c r="C41" s="65" t="str">
        <f t="shared" si="3"/>
        <v>Feb-16</v>
      </c>
      <c r="D41" s="36">
        <f>MASTER!$N$6</f>
        <v>13653</v>
      </c>
      <c r="E41" s="36">
        <f>ROUND(MAX(MASTER!$Z$12:$Z$89)*K41%,0)</f>
        <v>25577</v>
      </c>
      <c r="F41" s="36">
        <f t="shared" si="0"/>
        <v>39230</v>
      </c>
      <c r="G41" s="36">
        <f>MASTER!$N$7</f>
        <v>14918</v>
      </c>
      <c r="H41" s="36">
        <f>ROUND(MAX(MASTER!$AA$12:$AA$89)*K41%,0)</f>
        <v>26998</v>
      </c>
      <c r="I41" s="36">
        <f t="shared" si="1"/>
        <v>41916</v>
      </c>
      <c r="J41" s="67">
        <f t="shared" si="2"/>
        <v>2686</v>
      </c>
      <c r="K41" s="72">
        <v>112.4</v>
      </c>
      <c r="L41" s="70">
        <f>MAX(MASTER!$Z$12:$Z$89)-MASTER!$N$6</f>
        <v>9102</v>
      </c>
    </row>
    <row r="42" spans="1:12" ht="15" customHeight="1">
      <c r="A42" s="37" t="s">
        <v>14</v>
      </c>
      <c r="B42" s="64" t="s">
        <v>115</v>
      </c>
      <c r="C42" s="65" t="str">
        <f t="shared" si="3"/>
        <v>Mar-16</v>
      </c>
      <c r="D42" s="36">
        <f>MASTER!$N$6</f>
        <v>13653</v>
      </c>
      <c r="E42" s="36">
        <f>ROUND(MAX(MASTER!$Z$12:$Z$89)*K42%,0)</f>
        <v>25577</v>
      </c>
      <c r="F42" s="36">
        <f t="shared" si="0"/>
        <v>39230</v>
      </c>
      <c r="G42" s="36">
        <f>MASTER!$N$7</f>
        <v>14918</v>
      </c>
      <c r="H42" s="36">
        <f>ROUND(MAX(MASTER!$AA$12:$AA$89)*K42%,0)</f>
        <v>26998</v>
      </c>
      <c r="I42" s="36">
        <f t="shared" si="1"/>
        <v>41916</v>
      </c>
      <c r="J42" s="67">
        <f t="shared" si="2"/>
        <v>2686</v>
      </c>
      <c r="K42" s="72">
        <v>112.4</v>
      </c>
      <c r="L42" s="70">
        <f>MAX(MASTER!$Z$12:$Z$89)-MASTER!$N$6</f>
        <v>9102</v>
      </c>
    </row>
    <row r="43" spans="1:12" ht="15" customHeight="1">
      <c r="A43" s="37" t="s">
        <v>15</v>
      </c>
      <c r="B43" s="64" t="s">
        <v>115</v>
      </c>
      <c r="C43" s="65" t="str">
        <f t="shared" si="3"/>
        <v>Apr-16</v>
      </c>
      <c r="D43" s="36">
        <f>MASTER!$N$6</f>
        <v>13653</v>
      </c>
      <c r="E43" s="36">
        <f>ROUND(MAX(MASTER!$Z$12:$Z$89)*K43%,0)</f>
        <v>25577</v>
      </c>
      <c r="F43" s="36">
        <f t="shared" si="0"/>
        <v>39230</v>
      </c>
      <c r="G43" s="36">
        <f>MASTER!$N$7</f>
        <v>14918</v>
      </c>
      <c r="H43" s="36">
        <f>ROUND(MAX(MASTER!$AA$12:$AA$89)*K43%,0)</f>
        <v>26998</v>
      </c>
      <c r="I43" s="36">
        <f t="shared" si="1"/>
        <v>41916</v>
      </c>
      <c r="J43" s="67">
        <f t="shared" si="2"/>
        <v>2686</v>
      </c>
      <c r="K43" s="72">
        <v>112.4</v>
      </c>
      <c r="L43" s="70">
        <f>MAX(MASTER!$Z$12:$Z$89)-MASTER!$N$6</f>
        <v>9102</v>
      </c>
    </row>
    <row r="44" spans="1:12" ht="15" customHeight="1">
      <c r="A44" s="37" t="s">
        <v>16</v>
      </c>
      <c r="B44" s="64" t="s">
        <v>115</v>
      </c>
      <c r="C44" s="65" t="str">
        <f t="shared" si="3"/>
        <v>May-16</v>
      </c>
      <c r="D44" s="36">
        <f>MASTER!$N$6</f>
        <v>13653</v>
      </c>
      <c r="E44" s="36">
        <f>ROUND(MAX(MASTER!$Z$12:$Z$89)*K44%,0)</f>
        <v>25577</v>
      </c>
      <c r="F44" s="36">
        <f t="shared" si="0"/>
        <v>39230</v>
      </c>
      <c r="G44" s="36">
        <f>MASTER!$N$7</f>
        <v>14918</v>
      </c>
      <c r="H44" s="36">
        <f>ROUND(MAX(MASTER!$AA$12:$AA$89)*K44%,0)</f>
        <v>26998</v>
      </c>
      <c r="I44" s="36">
        <f t="shared" si="1"/>
        <v>41916</v>
      </c>
      <c r="J44" s="67">
        <f t="shared" si="2"/>
        <v>2686</v>
      </c>
      <c r="K44" s="72">
        <v>112.4</v>
      </c>
      <c r="L44" s="70">
        <f>MAX(MASTER!$Z$12:$Z$89)-MASTER!$N$6</f>
        <v>9102</v>
      </c>
    </row>
    <row r="45" spans="1:12" ht="15" customHeight="1">
      <c r="A45" s="37" t="s">
        <v>17</v>
      </c>
      <c r="B45" s="64" t="s">
        <v>115</v>
      </c>
      <c r="C45" s="65" t="str">
        <f t="shared" si="3"/>
        <v>Jun-16</v>
      </c>
      <c r="D45" s="36">
        <f>MASTER!$N$6</f>
        <v>13653</v>
      </c>
      <c r="E45" s="36">
        <f>ROUND(MAX(MASTER!$Z$12:$Z$89)*K45%,0)</f>
        <v>25577</v>
      </c>
      <c r="F45" s="36">
        <f t="shared" si="0"/>
        <v>39230</v>
      </c>
      <c r="G45" s="36">
        <f>MASTER!$N$7</f>
        <v>14918</v>
      </c>
      <c r="H45" s="36">
        <f>ROUND(MAX(MASTER!$AA$12:$AA$89)*K45%,0)</f>
        <v>26998</v>
      </c>
      <c r="I45" s="36">
        <f t="shared" si="1"/>
        <v>41916</v>
      </c>
      <c r="J45" s="67">
        <f t="shared" si="2"/>
        <v>2686</v>
      </c>
      <c r="K45" s="72">
        <v>112.4</v>
      </c>
      <c r="L45" s="70">
        <f>MAX(MASTER!$Z$12:$Z$89)-MASTER!$N$6</f>
        <v>9102</v>
      </c>
    </row>
    <row r="46" spans="1:12" ht="15" customHeight="1">
      <c r="A46" s="37" t="s">
        <v>18</v>
      </c>
      <c r="B46" s="64" t="s">
        <v>115</v>
      </c>
      <c r="C46" s="65" t="str">
        <f t="shared" si="3"/>
        <v>Jul-16</v>
      </c>
      <c r="D46" s="36">
        <f>MASTER!$N$6</f>
        <v>13653</v>
      </c>
      <c r="E46" s="36">
        <f>ROUND(MAX(MASTER!$Z$12:$Z$89)*K46%,0)</f>
        <v>26123</v>
      </c>
      <c r="F46" s="36">
        <f t="shared" si="0"/>
        <v>39776</v>
      </c>
      <c r="G46" s="36">
        <f>MASTER!$N$7</f>
        <v>14918</v>
      </c>
      <c r="H46" s="36">
        <f>ROUND(MAX(MASTER!$AA$12:$AA$89)*K46%,0)</f>
        <v>27575</v>
      </c>
      <c r="I46" s="36">
        <f t="shared" si="1"/>
        <v>42493</v>
      </c>
      <c r="J46" s="67">
        <f>I46-F46</f>
        <v>2717</v>
      </c>
      <c r="K46" s="72">
        <v>114.8</v>
      </c>
      <c r="L46" s="70">
        <f>MAX(MASTER!$Z$12:$Z$89)-MASTER!$N$6</f>
        <v>9102</v>
      </c>
    </row>
    <row r="47" spans="1:12" ht="15" customHeight="1">
      <c r="A47" s="37" t="s">
        <v>19</v>
      </c>
      <c r="B47" s="64" t="s">
        <v>115</v>
      </c>
      <c r="C47" s="65" t="str">
        <f t="shared" si="3"/>
        <v>Aug-16</v>
      </c>
      <c r="D47" s="36">
        <f>MASTER!$N$6</f>
        <v>13653</v>
      </c>
      <c r="E47" s="36">
        <f>ROUND(MAX(MASTER!$Z$12:$Z$89)*K47%,0)</f>
        <v>26123</v>
      </c>
      <c r="F47" s="36">
        <f t="shared" si="0"/>
        <v>39776</v>
      </c>
      <c r="G47" s="36">
        <f>MASTER!$N$7</f>
        <v>14918</v>
      </c>
      <c r="H47" s="36">
        <f>ROUND(MAX(MASTER!$AA$12:$AA$89)*K47%,0)</f>
        <v>27575</v>
      </c>
      <c r="I47" s="36">
        <f t="shared" si="1"/>
        <v>42493</v>
      </c>
      <c r="J47" s="67">
        <f>I47-F47</f>
        <v>2717</v>
      </c>
      <c r="K47" s="72">
        <v>114.8</v>
      </c>
      <c r="L47" s="70">
        <f>MAX(MASTER!$Z$12:$Z$89)-MASTER!$N$6</f>
        <v>9102</v>
      </c>
    </row>
    <row r="48" spans="1:10" ht="16.5" customHeight="1">
      <c r="A48" s="38"/>
      <c r="B48" s="39"/>
      <c r="C48" s="68"/>
      <c r="D48" s="69"/>
      <c r="E48" s="69"/>
      <c r="F48" s="69"/>
      <c r="G48" s="69"/>
      <c r="H48" s="69"/>
      <c r="I48" s="69"/>
      <c r="J48" s="119">
        <f>SUM(J10:J47)</f>
        <v>95326</v>
      </c>
    </row>
  </sheetData>
  <sheetProtection password="C784" sheet="1" selectLockedCells="1"/>
  <conditionalFormatting sqref="A8:A47 C9 C11:C48">
    <cfRule type="expression" priority="10" dxfId="0" stopIfTrue="1">
      <formula>$AA8=0.5</formula>
    </cfRule>
  </conditionalFormatting>
  <conditionalFormatting sqref="B10:C10">
    <cfRule type="expression" priority="9" dxfId="0" stopIfTrue="1">
      <formula>$AA10=0.5</formula>
    </cfRule>
  </conditionalFormatting>
  <conditionalFormatting sqref="B11:B15">
    <cfRule type="expression" priority="8" dxfId="0" stopIfTrue="1">
      <formula>$AA11=0.5</formula>
    </cfRule>
  </conditionalFormatting>
  <conditionalFormatting sqref="B16">
    <cfRule type="expression" priority="7" dxfId="0" stopIfTrue="1">
      <formula>$AA16=0.5</formula>
    </cfRule>
  </conditionalFormatting>
  <conditionalFormatting sqref="B17:B27">
    <cfRule type="expression" priority="6" dxfId="0" stopIfTrue="1">
      <formula>$AA17=0.5</formula>
    </cfRule>
  </conditionalFormatting>
  <conditionalFormatting sqref="B28">
    <cfRule type="expression" priority="5" dxfId="0" stopIfTrue="1">
      <formula>$AA28=0.5</formula>
    </cfRule>
  </conditionalFormatting>
  <conditionalFormatting sqref="B29:B39">
    <cfRule type="expression" priority="4" dxfId="0" stopIfTrue="1">
      <formula>$AA29=0.5</formula>
    </cfRule>
  </conditionalFormatting>
  <conditionalFormatting sqref="B40:B47">
    <cfRule type="expression" priority="3" dxfId="0" stopIfTrue="1">
      <formula>$AA40=0.5</formula>
    </cfRule>
  </conditionalFormatting>
  <conditionalFormatting sqref="B8:C8">
    <cfRule type="expression" priority="2" dxfId="0" stopIfTrue="1">
      <formula>$AA8=0.5</formula>
    </cfRule>
  </conditionalFormatting>
  <conditionalFormatting sqref="B9">
    <cfRule type="expression" priority="1" dxfId="0" stopIfTrue="1">
      <formula>$AA9=0.5</formula>
    </cfRule>
  </conditionalFormatting>
  <printOptions horizontalCentered="1"/>
  <pageMargins left="0.5" right="0.5" top="0.5" bottom="0.5" header="0.3" footer="0.3"/>
  <pageSetup horizontalDpi="600" verticalDpi="600" orientation="portrait" paperSize="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codeName="Sheet2">
    <tabColor rgb="FFFFC000"/>
  </sheetPr>
  <dimension ref="A1:AP91"/>
  <sheetViews>
    <sheetView showGridLines="0" view="pageBreakPreview" zoomScaleSheetLayoutView="100" zoomScalePageLayoutView="0" workbookViewId="0" topLeftCell="A4">
      <pane ySplit="7" topLeftCell="A11" activePane="bottomLeft" state="frozen"/>
      <selection pane="topLeft" activeCell="A4" sqref="A4"/>
      <selection pane="bottomLeft" activeCell="C41" sqref="C41"/>
    </sheetView>
  </sheetViews>
  <sheetFormatPr defaultColWidth="9.140625" defaultRowHeight="12.75"/>
  <cols>
    <col min="1" max="1" width="7.57421875" style="78" customWidth="1"/>
    <col min="2" max="2" width="3.7109375" style="117" customWidth="1"/>
    <col min="3" max="8" width="10.7109375" style="117" customWidth="1"/>
    <col min="9" max="10" width="10.7109375" style="78" hidden="1" customWidth="1"/>
    <col min="11" max="11" width="10.7109375" style="78" customWidth="1"/>
    <col min="12" max="12" width="10.7109375" style="76" customWidth="1"/>
    <col min="13" max="13" width="6.8515625" style="78" hidden="1" customWidth="1"/>
    <col min="14" max="14" width="6.140625" style="8" customWidth="1"/>
    <col min="15" max="15" width="5.8515625" style="47" customWidth="1"/>
    <col min="16" max="16" width="7.421875" style="47" customWidth="1"/>
    <col min="17" max="17" width="6.57421875" style="47" customWidth="1"/>
    <col min="18" max="30" width="6.28125" style="47" customWidth="1"/>
    <col min="31" max="31" width="6.7109375" style="47" customWidth="1"/>
    <col min="32" max="33" width="6.28125" style="47" customWidth="1"/>
    <col min="34" max="34" width="7.57421875" style="47" customWidth="1"/>
    <col min="35" max="35" width="10.00390625" style="8" customWidth="1"/>
    <col min="36" max="41" width="9.140625" style="8" customWidth="1"/>
    <col min="42" max="16384" width="9.140625" style="78" customWidth="1"/>
  </cols>
  <sheetData>
    <row r="1" spans="2:41" s="75" customFormat="1" ht="12">
      <c r="B1" s="76"/>
      <c r="C1" s="76"/>
      <c r="D1" s="76"/>
      <c r="E1" s="76"/>
      <c r="F1" s="77"/>
      <c r="G1" s="76"/>
      <c r="H1" s="76"/>
      <c r="J1" s="78"/>
      <c r="K1" s="78"/>
      <c r="L1" s="76"/>
      <c r="N1" s="3"/>
      <c r="O1" s="45"/>
      <c r="P1" s="45"/>
      <c r="Q1" s="45"/>
      <c r="R1" s="45"/>
      <c r="S1" s="45"/>
      <c r="T1" s="45"/>
      <c r="U1" s="45"/>
      <c r="V1" s="45"/>
      <c r="W1" s="45"/>
      <c r="X1" s="45"/>
      <c r="Y1" s="45"/>
      <c r="Z1" s="45"/>
      <c r="AA1" s="45"/>
      <c r="AB1" s="45"/>
      <c r="AC1" s="45"/>
      <c r="AD1" s="45"/>
      <c r="AE1" s="45"/>
      <c r="AF1" s="45"/>
      <c r="AG1" s="45"/>
      <c r="AH1" s="45"/>
      <c r="AI1" s="3"/>
      <c r="AJ1" s="3"/>
      <c r="AK1" s="3"/>
      <c r="AL1" s="3"/>
      <c r="AM1" s="3"/>
      <c r="AN1" s="3"/>
      <c r="AO1" s="3"/>
    </row>
    <row r="2" spans="2:41" s="75" customFormat="1" ht="12">
      <c r="B2" s="76"/>
      <c r="C2" s="76"/>
      <c r="D2" s="76"/>
      <c r="E2" s="76"/>
      <c r="F2" s="77"/>
      <c r="G2" s="76"/>
      <c r="H2" s="76"/>
      <c r="J2" s="78"/>
      <c r="K2" s="78"/>
      <c r="L2" s="76"/>
      <c r="N2" s="3"/>
      <c r="O2" s="45"/>
      <c r="P2" s="45"/>
      <c r="Q2" s="45"/>
      <c r="R2" s="45"/>
      <c r="S2" s="45"/>
      <c r="T2" s="45"/>
      <c r="U2" s="45"/>
      <c r="V2" s="45"/>
      <c r="W2" s="45"/>
      <c r="X2" s="45"/>
      <c r="Y2" s="45"/>
      <c r="Z2" s="45"/>
      <c r="AA2" s="45"/>
      <c r="AB2" s="45"/>
      <c r="AC2" s="45"/>
      <c r="AD2" s="45"/>
      <c r="AE2" s="45"/>
      <c r="AF2" s="45"/>
      <c r="AG2" s="45"/>
      <c r="AH2" s="45"/>
      <c r="AI2" s="3"/>
      <c r="AJ2" s="3"/>
      <c r="AK2" s="3"/>
      <c r="AL2" s="3"/>
      <c r="AM2" s="3"/>
      <c r="AN2" s="3"/>
      <c r="AO2" s="3"/>
    </row>
    <row r="3" spans="2:41" s="75" customFormat="1" ht="12">
      <c r="B3" s="76"/>
      <c r="C3" s="76"/>
      <c r="D3" s="76"/>
      <c r="E3" s="76"/>
      <c r="F3" s="77"/>
      <c r="G3" s="76"/>
      <c r="H3" s="76"/>
      <c r="J3" s="78"/>
      <c r="K3" s="78"/>
      <c r="L3" s="76"/>
      <c r="N3" s="3"/>
      <c r="O3" s="45"/>
      <c r="P3" s="45"/>
      <c r="Q3" s="45"/>
      <c r="R3" s="45"/>
      <c r="S3" s="45"/>
      <c r="T3" s="45"/>
      <c r="U3" s="45"/>
      <c r="V3" s="45"/>
      <c r="W3" s="45"/>
      <c r="X3" s="45"/>
      <c r="Y3" s="45"/>
      <c r="Z3" s="45"/>
      <c r="AA3" s="45"/>
      <c r="AB3" s="45"/>
      <c r="AC3" s="45"/>
      <c r="AD3" s="45"/>
      <c r="AE3" s="45"/>
      <c r="AF3" s="45"/>
      <c r="AG3" s="45"/>
      <c r="AH3" s="45"/>
      <c r="AI3" s="3"/>
      <c r="AJ3" s="3"/>
      <c r="AK3" s="3"/>
      <c r="AL3" s="3"/>
      <c r="AM3" s="3"/>
      <c r="AN3" s="3"/>
      <c r="AO3" s="3"/>
    </row>
    <row r="4" spans="2:41" s="75" customFormat="1" ht="12" hidden="1">
      <c r="B4" s="76"/>
      <c r="C4" s="76"/>
      <c r="D4" s="76"/>
      <c r="E4" s="76"/>
      <c r="F4" s="77"/>
      <c r="G4" s="76"/>
      <c r="H4" s="76"/>
      <c r="J4" s="78"/>
      <c r="K4" s="78"/>
      <c r="L4" s="76"/>
      <c r="N4" s="3"/>
      <c r="O4" s="45"/>
      <c r="P4" s="45"/>
      <c r="Q4" s="45"/>
      <c r="R4" s="45"/>
      <c r="S4" s="45"/>
      <c r="T4" s="45"/>
      <c r="U4" s="45"/>
      <c r="V4" s="45"/>
      <c r="W4" s="45"/>
      <c r="X4" s="45"/>
      <c r="Y4" s="45"/>
      <c r="Z4" s="45"/>
      <c r="AA4" s="45"/>
      <c r="AB4" s="45"/>
      <c r="AC4" s="45"/>
      <c r="AD4" s="45"/>
      <c r="AE4" s="45"/>
      <c r="AF4" s="45"/>
      <c r="AG4" s="45"/>
      <c r="AH4" s="45"/>
      <c r="AI4" s="3"/>
      <c r="AJ4" s="3"/>
      <c r="AK4" s="3"/>
      <c r="AL4" s="3"/>
      <c r="AM4" s="3"/>
      <c r="AN4" s="3"/>
      <c r="AO4" s="3"/>
    </row>
    <row r="5" spans="2:41" s="75" customFormat="1" ht="12" hidden="1">
      <c r="B5" s="76"/>
      <c r="C5" s="76"/>
      <c r="D5" s="76"/>
      <c r="E5" s="76"/>
      <c r="F5" s="77"/>
      <c r="G5" s="76"/>
      <c r="H5" s="76"/>
      <c r="J5" s="78"/>
      <c r="K5" s="78"/>
      <c r="L5" s="76"/>
      <c r="N5" s="3"/>
      <c r="O5" s="45"/>
      <c r="P5" s="45"/>
      <c r="Q5" s="45"/>
      <c r="R5" s="45"/>
      <c r="S5" s="45"/>
      <c r="T5" s="45"/>
      <c r="U5" s="45"/>
      <c r="V5" s="45"/>
      <c r="W5" s="45"/>
      <c r="X5" s="45"/>
      <c r="Y5" s="45"/>
      <c r="Z5" s="45"/>
      <c r="AA5" s="45"/>
      <c r="AB5" s="45"/>
      <c r="AC5" s="45"/>
      <c r="AD5" s="45"/>
      <c r="AE5" s="45"/>
      <c r="AF5" s="45"/>
      <c r="AG5" s="45"/>
      <c r="AH5" s="45"/>
      <c r="AI5" s="3"/>
      <c r="AJ5" s="3"/>
      <c r="AK5" s="3"/>
      <c r="AL5" s="3"/>
      <c r="AM5" s="3"/>
      <c r="AN5" s="3"/>
      <c r="AO5" s="3"/>
    </row>
    <row r="6" spans="2:41" s="75" customFormat="1" ht="12" hidden="1">
      <c r="B6" s="76"/>
      <c r="C6" s="76"/>
      <c r="D6" s="76"/>
      <c r="E6" s="76"/>
      <c r="F6" s="77"/>
      <c r="G6" s="76"/>
      <c r="H6" s="76"/>
      <c r="J6" s="78"/>
      <c r="K6" s="78"/>
      <c r="L6" s="76"/>
      <c r="N6" s="3"/>
      <c r="O6" s="45"/>
      <c r="P6" s="45"/>
      <c r="Q6" s="45"/>
      <c r="R6" s="45"/>
      <c r="S6" s="45"/>
      <c r="T6" s="45"/>
      <c r="U6" s="45"/>
      <c r="V6" s="45"/>
      <c r="W6" s="45"/>
      <c r="X6" s="45"/>
      <c r="Y6" s="45"/>
      <c r="Z6" s="45"/>
      <c r="AA6" s="45"/>
      <c r="AB6" s="45"/>
      <c r="AC6" s="45"/>
      <c r="AD6" s="45"/>
      <c r="AE6" s="45"/>
      <c r="AF6" s="45"/>
      <c r="AG6" s="45"/>
      <c r="AH6" s="45"/>
      <c r="AI6" s="3"/>
      <c r="AJ6" s="3"/>
      <c r="AK6" s="3"/>
      <c r="AL6" s="3"/>
      <c r="AM6" s="3"/>
      <c r="AN6" s="3"/>
      <c r="AO6" s="3"/>
    </row>
    <row r="7" spans="2:41" s="75" customFormat="1" ht="12" hidden="1">
      <c r="B7" s="76"/>
      <c r="C7" s="76"/>
      <c r="D7" s="76"/>
      <c r="E7" s="76"/>
      <c r="F7" s="77"/>
      <c r="G7" s="76"/>
      <c r="H7" s="76"/>
      <c r="J7" s="78"/>
      <c r="K7" s="78"/>
      <c r="L7" s="76"/>
      <c r="N7" s="3"/>
      <c r="O7" s="45"/>
      <c r="P7" s="45"/>
      <c r="Q7" s="45"/>
      <c r="R7" s="45"/>
      <c r="S7" s="45"/>
      <c r="T7" s="45"/>
      <c r="U7" s="45"/>
      <c r="V7" s="45"/>
      <c r="W7" s="45"/>
      <c r="X7" s="45"/>
      <c r="Y7" s="45"/>
      <c r="Z7" s="45"/>
      <c r="AA7" s="45"/>
      <c r="AB7" s="45"/>
      <c r="AC7" s="45"/>
      <c r="AD7" s="45"/>
      <c r="AE7" s="45"/>
      <c r="AF7" s="45"/>
      <c r="AG7" s="45"/>
      <c r="AH7" s="45"/>
      <c r="AI7" s="3"/>
      <c r="AJ7" s="3"/>
      <c r="AK7" s="3"/>
      <c r="AL7" s="3"/>
      <c r="AM7" s="3"/>
      <c r="AN7" s="3"/>
      <c r="AO7" s="3"/>
    </row>
    <row r="8" spans="2:41" s="75" customFormat="1" ht="12">
      <c r="B8" s="76"/>
      <c r="C8" s="79" t="s">
        <v>104</v>
      </c>
      <c r="D8" s="76"/>
      <c r="E8" s="76"/>
      <c r="F8" s="77"/>
      <c r="G8" s="76"/>
      <c r="H8" s="76"/>
      <c r="J8" s="78"/>
      <c r="K8" s="78"/>
      <c r="L8" s="76"/>
      <c r="N8" s="3"/>
      <c r="O8" s="45"/>
      <c r="P8" s="45"/>
      <c r="Q8" s="45"/>
      <c r="R8" s="45"/>
      <c r="S8" s="45"/>
      <c r="T8" s="45"/>
      <c r="U8" s="45"/>
      <c r="V8" s="45"/>
      <c r="W8" s="45"/>
      <c r="X8" s="45"/>
      <c r="Y8" s="45"/>
      <c r="Z8" s="45"/>
      <c r="AA8" s="45"/>
      <c r="AB8" s="45"/>
      <c r="AC8" s="45"/>
      <c r="AD8" s="45"/>
      <c r="AE8" s="45"/>
      <c r="AF8" s="45"/>
      <c r="AG8" s="45"/>
      <c r="AH8" s="45"/>
      <c r="AI8" s="3"/>
      <c r="AJ8" s="3"/>
      <c r="AK8" s="3"/>
      <c r="AL8" s="3"/>
      <c r="AM8" s="3"/>
      <c r="AN8" s="3"/>
      <c r="AO8" s="3"/>
    </row>
    <row r="9" spans="1:41" s="75" customFormat="1" ht="12" customHeight="1">
      <c r="A9" s="235" t="s">
        <v>4</v>
      </c>
      <c r="B9" s="244" t="s">
        <v>5</v>
      </c>
      <c r="C9" s="237" t="s">
        <v>126</v>
      </c>
      <c r="D9" s="80"/>
      <c r="E9" s="243" t="s">
        <v>2</v>
      </c>
      <c r="F9" s="243"/>
      <c r="G9" s="81"/>
      <c r="H9" s="82" t="s">
        <v>3</v>
      </c>
      <c r="I9" s="83"/>
      <c r="J9" s="84"/>
      <c r="K9" s="240" t="s">
        <v>125</v>
      </c>
      <c r="L9" s="237" t="s">
        <v>106</v>
      </c>
      <c r="M9" s="237" t="s">
        <v>105</v>
      </c>
      <c r="N9" s="239"/>
      <c r="O9" s="45"/>
      <c r="P9" s="45"/>
      <c r="Q9" s="45"/>
      <c r="R9" s="45"/>
      <c r="S9" s="45"/>
      <c r="T9" s="45"/>
      <c r="U9" s="45"/>
      <c r="V9" s="45"/>
      <c r="W9" s="45"/>
      <c r="X9" s="45"/>
      <c r="Y9" s="45"/>
      <c r="Z9" s="45"/>
      <c r="AA9" s="45"/>
      <c r="AB9" s="45"/>
      <c r="AC9" s="45"/>
      <c r="AD9" s="45"/>
      <c r="AE9" s="45"/>
      <c r="AF9" s="45"/>
      <c r="AG9" s="45"/>
      <c r="AH9" s="45"/>
      <c r="AI9" s="3"/>
      <c r="AJ9" s="3"/>
      <c r="AK9" s="3"/>
      <c r="AL9" s="3"/>
      <c r="AM9" s="3"/>
      <c r="AN9" s="3"/>
      <c r="AO9" s="3"/>
    </row>
    <row r="10" spans="1:14" ht="12" customHeight="1">
      <c r="A10" s="236"/>
      <c r="B10" s="245"/>
      <c r="C10" s="236"/>
      <c r="D10" s="85" t="s">
        <v>100</v>
      </c>
      <c r="E10" s="85" t="s">
        <v>26</v>
      </c>
      <c r="F10" s="85" t="s">
        <v>27</v>
      </c>
      <c r="G10" s="85" t="s">
        <v>7</v>
      </c>
      <c r="H10" s="85" t="s">
        <v>26</v>
      </c>
      <c r="I10" s="85" t="s">
        <v>27</v>
      </c>
      <c r="J10" s="85" t="s">
        <v>7</v>
      </c>
      <c r="K10" s="241"/>
      <c r="L10" s="236"/>
      <c r="M10" s="238"/>
      <c r="N10" s="239"/>
    </row>
    <row r="11" spans="1:42" ht="12">
      <c r="A11" s="86" t="s">
        <v>12</v>
      </c>
      <c r="B11" s="87" t="s">
        <v>21</v>
      </c>
      <c r="C11" s="126"/>
      <c r="D11" s="145">
        <f>MIN(IF(K11&lt;&gt;0,S11,1),OBPH1)</f>
        <v>1</v>
      </c>
      <c r="E11" s="145">
        <f>IF(K11=0,1,IF(K11="Y",1,C11))</f>
        <v>1</v>
      </c>
      <c r="F11" s="133">
        <v>0.01</v>
      </c>
      <c r="G11" s="134">
        <v>1</v>
      </c>
      <c r="H11" s="145">
        <f>IF(K11=0,1,IF(K11="Y",1))</f>
        <v>1</v>
      </c>
      <c r="I11" s="88"/>
      <c r="J11" s="89"/>
      <c r="K11" s="144">
        <f>IF(C11=0,IF(L11=0,IF(OR(A11&amp;B11=MASTER!$I$7&amp;RIGHT(MASTER!$J$7,2),A11&amp;B11=MASTER!$I$8&amp;RIGHT(MASTER!$J$8,2),A11&amp;B11=MASTER!$M$8&amp;RIGHT(MASTER!$N$8,2)),"Y",0),"Y"),C11)</f>
        <v>0</v>
      </c>
      <c r="L11" s="122">
        <f>IF(A11&amp;B11=MASTER!$I$7&amp;RIGHT(MASTER!$J$7,2),A11,IF(A11&amp;B11=MASTER!$I$8&amp;RIGHT(MASTER!$J$8,2),A11,IF(A11&amp;B11=MASTER!$M$8&amp;RIGHT(MASTER!$N$8,2),A11,0)))</f>
        <v>0</v>
      </c>
      <c r="M11" s="90">
        <f>IF(K11=0,0,1)</f>
        <v>0</v>
      </c>
      <c r="N11" s="118" t="str">
        <f>IF(L11=0,MASTER!$E$5,PROPER(LEFT(L11,3)))</f>
        <v>Mar</v>
      </c>
      <c r="O11" s="46">
        <f>INCN</f>
        <v>350</v>
      </c>
      <c r="R11" s="47">
        <f>INDEX(MASTER!$AN$12:MASTER!$AW$22,MATCH('Manual Data'!$M11+OI,MASTER!$AW$12:MASTER!$AW$22,0),5)</f>
        <v>18250</v>
      </c>
      <c r="S11" s="47">
        <f>INDEX(MASTER!$AN$12:MASTER!$AW$22,MATCH('Manual Data'!$M11+OI,MASTER!$AW$12:MASTER!$AW$22,0),4)</f>
        <v>13000</v>
      </c>
      <c r="T11" s="47">
        <f>IF(S11&lt;$R$11,S11+$O11,$R11)</f>
        <v>13350</v>
      </c>
      <c r="U11" s="47">
        <f aca="true" t="shared" si="0" ref="U11:AH11">IF(T11&lt;$R$11,T11+$O11,$R11)</f>
        <v>13700</v>
      </c>
      <c r="V11" s="47">
        <f t="shared" si="0"/>
        <v>14050</v>
      </c>
      <c r="W11" s="47">
        <f t="shared" si="0"/>
        <v>14400</v>
      </c>
      <c r="X11" s="47">
        <f t="shared" si="0"/>
        <v>14750</v>
      </c>
      <c r="Y11" s="47">
        <f t="shared" si="0"/>
        <v>15100</v>
      </c>
      <c r="Z11" s="47">
        <f t="shared" si="0"/>
        <v>15450</v>
      </c>
      <c r="AA11" s="47">
        <f t="shared" si="0"/>
        <v>15800</v>
      </c>
      <c r="AB11" s="47">
        <f t="shared" si="0"/>
        <v>16150</v>
      </c>
      <c r="AC11" s="47">
        <f t="shared" si="0"/>
        <v>16500</v>
      </c>
      <c r="AD11" s="47">
        <f t="shared" si="0"/>
        <v>16850</v>
      </c>
      <c r="AE11" s="47">
        <f t="shared" si="0"/>
        <v>17200</v>
      </c>
      <c r="AF11" s="47">
        <f t="shared" si="0"/>
        <v>17550</v>
      </c>
      <c r="AG11" s="47">
        <f t="shared" si="0"/>
        <v>17900</v>
      </c>
      <c r="AH11" s="47">
        <f t="shared" si="0"/>
        <v>18250</v>
      </c>
      <c r="AK11" s="8">
        <f aca="true" t="shared" si="1" ref="AK11:AP11">IF(AJ11&lt;AI11,AJ11+$O11,"")</f>
      </c>
      <c r="AL11" s="8">
        <f t="shared" si="1"/>
      </c>
      <c r="AM11" s="8">
        <f t="shared" si="1"/>
      </c>
      <c r="AN11" s="8">
        <f t="shared" si="1"/>
      </c>
      <c r="AO11" s="8">
        <f t="shared" si="1"/>
      </c>
      <c r="AP11" s="78">
        <f t="shared" si="1"/>
      </c>
    </row>
    <row r="12" spans="1:34" ht="12">
      <c r="A12" s="91" t="s">
        <v>13</v>
      </c>
      <c r="B12" s="92" t="s">
        <v>21</v>
      </c>
      <c r="C12" s="127"/>
      <c r="D12" s="146">
        <f>MIN(IF(K12&lt;&gt;0,S12,1),OBPH1)</f>
        <v>1</v>
      </c>
      <c r="E12" s="146">
        <f aca="true" t="shared" si="2" ref="E12:E43">IF(K12=0,1,IF(K12="Y",IF(A12=N12,BPN12,BPN1),K12))</f>
        <v>1</v>
      </c>
      <c r="F12" s="135">
        <v>0.01</v>
      </c>
      <c r="G12" s="136">
        <v>1</v>
      </c>
      <c r="H12" s="146">
        <f aca="true" t="shared" si="3" ref="H12:H43">IF(K12=0,1,IF(K12="Y",IF(A12=N12,BPN22,BPN2),ROUNDUP(ROUND(E12*1.05595-0.01,0),-1)))</f>
        <v>1</v>
      </c>
      <c r="I12" s="93"/>
      <c r="J12" s="94"/>
      <c r="K12" s="122">
        <f>IF(C12=0,IF(L12=0,IF(OR(A12&amp;B12=MASTER!$I$7&amp;RIGHT(MASTER!$J$7,2),A12&amp;B12=MASTER!$I$8&amp;RIGHT(MASTER!$J$8,2),A12&amp;B12=MASTER!$M$8&amp;RIGHT(MASTER!$N$8,2)),"Y",0),"Y"),C12)</f>
        <v>0</v>
      </c>
      <c r="L12" s="122">
        <f>IF(A12&amp;B12=MASTER!$I$7&amp;RIGHT(MASTER!$J$7,2),A12,IF(A12&amp;B12=MASTER!$I$8&amp;RIGHT(MASTER!$J$8,2),A12,IF(A12&amp;B12=MASTER!$M$8&amp;RIGHT(MASTER!$N$8,2),A12,0)))</f>
        <v>0</v>
      </c>
      <c r="M12" s="95">
        <f aca="true" t="shared" si="4" ref="M12:M43">IF(K12=0,M11,M11+1)</f>
        <v>0</v>
      </c>
      <c r="N12" s="118" t="str">
        <f>IF(L11=0,N11,PROPER(LEFT(L11,3)))</f>
        <v>Mar</v>
      </c>
      <c r="O12" s="46">
        <f>INCN</f>
        <v>350</v>
      </c>
      <c r="P12" s="47">
        <f>BP</f>
        <v>13000</v>
      </c>
      <c r="R12" s="47">
        <f>INDEX(MASTER!$AN$12:MASTER!$AW$22,MATCH('Manual Data'!$M12+OI,MASTER!$AW$12:MASTER!$AW$22,0),5)</f>
        <v>18250</v>
      </c>
      <c r="S12" s="47">
        <f>INDEX(MASTER!$AN$12:MASTER!$AW$22,MATCH('Manual Data'!$M12+OI,MASTER!$AW$12:MASTER!$AW$22,0),4)</f>
        <v>13000</v>
      </c>
      <c r="T12" s="47">
        <f aca="true" t="shared" si="5" ref="T12:AH13">IF(S12&lt;$R$11,S12+$O12,$R12)</f>
        <v>13350</v>
      </c>
      <c r="U12" s="47">
        <f t="shared" si="5"/>
        <v>13700</v>
      </c>
      <c r="V12" s="47">
        <f t="shared" si="5"/>
        <v>14050</v>
      </c>
      <c r="W12" s="47">
        <f t="shared" si="5"/>
        <v>14400</v>
      </c>
      <c r="X12" s="47">
        <f t="shared" si="5"/>
        <v>14750</v>
      </c>
      <c r="Y12" s="47">
        <f t="shared" si="5"/>
        <v>15100</v>
      </c>
      <c r="Z12" s="47">
        <f t="shared" si="5"/>
        <v>15450</v>
      </c>
      <c r="AA12" s="47">
        <f t="shared" si="5"/>
        <v>15800</v>
      </c>
      <c r="AB12" s="47">
        <f t="shared" si="5"/>
        <v>16150</v>
      </c>
      <c r="AC12" s="47">
        <f t="shared" si="5"/>
        <v>16500</v>
      </c>
      <c r="AD12" s="47">
        <f t="shared" si="5"/>
        <v>16850</v>
      </c>
      <c r="AE12" s="47">
        <f t="shared" si="5"/>
        <v>17200</v>
      </c>
      <c r="AF12" s="47">
        <f t="shared" si="5"/>
        <v>17550</v>
      </c>
      <c r="AG12" s="47">
        <f t="shared" si="5"/>
        <v>17900</v>
      </c>
      <c r="AH12" s="47">
        <f t="shared" si="5"/>
        <v>18250</v>
      </c>
    </row>
    <row r="13" spans="1:34" ht="12">
      <c r="A13" s="91" t="s">
        <v>14</v>
      </c>
      <c r="B13" s="92" t="s">
        <v>21</v>
      </c>
      <c r="C13" s="127"/>
      <c r="D13" s="146">
        <f>MIN(IF(K13&lt;&gt;0,S13,1),OBPH1)</f>
        <v>1</v>
      </c>
      <c r="E13" s="146">
        <f t="shared" si="2"/>
        <v>1</v>
      </c>
      <c r="F13" s="135">
        <v>0.01</v>
      </c>
      <c r="G13" s="136">
        <v>1</v>
      </c>
      <c r="H13" s="146">
        <f t="shared" si="3"/>
        <v>1</v>
      </c>
      <c r="I13" s="93"/>
      <c r="J13" s="94"/>
      <c r="K13" s="122">
        <f>IF(C13=0,IF(L13=0,IF(OR(A13&amp;B13=MASTER!$I$7&amp;RIGHT(MASTER!$J$7,2),A13&amp;B13=MASTER!$I$8&amp;RIGHT(MASTER!$J$8,2),A13&amp;B13=MASTER!$M$8&amp;RIGHT(MASTER!$N$8,2)),"Y",0),"Y"),C13)</f>
        <v>0</v>
      </c>
      <c r="L13" s="122">
        <f>IF(A13&amp;B13=MASTER!$I$7&amp;RIGHT(MASTER!$J$7,2),A13,IF(A13&amp;B13=MASTER!$I$8&amp;RIGHT(MASTER!$J$8,2),A13,IF(A13&amp;B13=MASTER!$M$8&amp;RIGHT(MASTER!$N$8,2),A13,0)))</f>
        <v>0</v>
      </c>
      <c r="M13" s="95">
        <f t="shared" si="4"/>
        <v>0</v>
      </c>
      <c r="N13" s="118" t="str">
        <f aca="true" t="shared" si="6" ref="N13:N76">IF(L12=0,N12,PROPER(LEFT(L12,3)))</f>
        <v>Mar</v>
      </c>
      <c r="O13" s="46">
        <f>INCN</f>
        <v>350</v>
      </c>
      <c r="P13" s="47">
        <f>BP</f>
        <v>13000</v>
      </c>
      <c r="R13" s="47">
        <f>INDEX(MASTER!$AN$12:MASTER!$AW$22,MATCH('Manual Data'!$M13+OI,MASTER!$AW$12:MASTER!$AW$22,0),5)</f>
        <v>18250</v>
      </c>
      <c r="S13" s="47">
        <f>INDEX(MASTER!$AN$12:MASTER!$AW$22,MATCH('Manual Data'!$M13+OI,MASTER!$AW$12:MASTER!$AW$22,0),4)</f>
        <v>13000</v>
      </c>
      <c r="T13" s="47">
        <f aca="true" t="shared" si="7" ref="T13:AE13">IF(S13&lt;$R$11,S13+$O13,$R13)</f>
        <v>13350</v>
      </c>
      <c r="U13" s="47">
        <f t="shared" si="7"/>
        <v>13700</v>
      </c>
      <c r="V13" s="47">
        <f t="shared" si="7"/>
        <v>14050</v>
      </c>
      <c r="W13" s="47">
        <f t="shared" si="7"/>
        <v>14400</v>
      </c>
      <c r="X13" s="47">
        <f t="shared" si="7"/>
        <v>14750</v>
      </c>
      <c r="Y13" s="47">
        <f t="shared" si="7"/>
        <v>15100</v>
      </c>
      <c r="Z13" s="47">
        <f t="shared" si="7"/>
        <v>15450</v>
      </c>
      <c r="AA13" s="47">
        <f t="shared" si="7"/>
        <v>15800</v>
      </c>
      <c r="AB13" s="47">
        <f t="shared" si="7"/>
        <v>16150</v>
      </c>
      <c r="AC13" s="47">
        <f t="shared" si="7"/>
        <v>16500</v>
      </c>
      <c r="AD13" s="47">
        <f t="shared" si="7"/>
        <v>16850</v>
      </c>
      <c r="AE13" s="47">
        <f t="shared" si="7"/>
        <v>17200</v>
      </c>
      <c r="AF13" s="47">
        <f t="shared" si="5"/>
        <v>17550</v>
      </c>
      <c r="AG13" s="47">
        <f t="shared" si="5"/>
        <v>17900</v>
      </c>
      <c r="AH13" s="47">
        <f t="shared" si="5"/>
        <v>18250</v>
      </c>
    </row>
    <row r="14" spans="1:34" ht="12">
      <c r="A14" s="91" t="s">
        <v>15</v>
      </c>
      <c r="B14" s="92" t="s">
        <v>21</v>
      </c>
      <c r="C14" s="127"/>
      <c r="D14" s="146">
        <f>MIN(IF(K14&lt;&gt;0,S14,1),OBPH1)</f>
        <v>1</v>
      </c>
      <c r="E14" s="146">
        <f t="shared" si="2"/>
        <v>1</v>
      </c>
      <c r="F14" s="135">
        <v>0.01</v>
      </c>
      <c r="G14" s="136">
        <v>1</v>
      </c>
      <c r="H14" s="146">
        <f t="shared" si="3"/>
        <v>1</v>
      </c>
      <c r="I14" s="93"/>
      <c r="J14" s="94"/>
      <c r="K14" s="122">
        <f>IF(C14=0,IF(L14=0,IF(OR(A14&amp;B14=MASTER!$I$7&amp;RIGHT(MASTER!$J$7,2),A14&amp;B14=MASTER!$I$8&amp;RIGHT(MASTER!$J$8,2),A14&amp;B14=MASTER!$M$8&amp;RIGHT(MASTER!$N$8,2)),"Y",0),"Y"),C14)</f>
        <v>0</v>
      </c>
      <c r="L14" s="122">
        <f>IF(A14&amp;B14=MASTER!$I$7&amp;RIGHT(MASTER!$J$7,2),A14,IF(A14&amp;B14=MASTER!$I$8&amp;RIGHT(MASTER!$J$8,2),A14,IF(A14&amp;B14=MASTER!$M$8&amp;RIGHT(MASTER!$N$8,2),A14,0)))</f>
        <v>0</v>
      </c>
      <c r="M14" s="95">
        <f t="shared" si="4"/>
        <v>0</v>
      </c>
      <c r="N14" s="118" t="str">
        <f t="shared" si="6"/>
        <v>Mar</v>
      </c>
      <c r="O14" s="46">
        <f>INCN</f>
        <v>350</v>
      </c>
      <c r="P14" s="47">
        <f>BP</f>
        <v>13000</v>
      </c>
      <c r="R14" s="47">
        <f>INDEX(MASTER!$AN$12:MASTER!$AW$22,MATCH('Manual Data'!$M14+OI,MASTER!$AW$12:MASTER!$AW$22,0),5)</f>
        <v>18250</v>
      </c>
      <c r="S14" s="47">
        <f>INDEX(MASTER!$AN$12:MASTER!$AW$22,MATCH('Manual Data'!$M14+OI,MASTER!$AW$12:MASTER!$AW$22,0),4)</f>
        <v>13000</v>
      </c>
      <c r="T14" s="47">
        <f aca="true" t="shared" si="8" ref="T14:AH14">IF(S14&lt;$R$11,S14+$O14,$R14)</f>
        <v>13350</v>
      </c>
      <c r="U14" s="47">
        <f t="shared" si="8"/>
        <v>13700</v>
      </c>
      <c r="V14" s="47">
        <f t="shared" si="8"/>
        <v>14050</v>
      </c>
      <c r="W14" s="47">
        <f t="shared" si="8"/>
        <v>14400</v>
      </c>
      <c r="X14" s="47">
        <f t="shared" si="8"/>
        <v>14750</v>
      </c>
      <c r="Y14" s="47">
        <f t="shared" si="8"/>
        <v>15100</v>
      </c>
      <c r="Z14" s="47">
        <f t="shared" si="8"/>
        <v>15450</v>
      </c>
      <c r="AA14" s="47">
        <f t="shared" si="8"/>
        <v>15800</v>
      </c>
      <c r="AB14" s="47">
        <f t="shared" si="8"/>
        <v>16150</v>
      </c>
      <c r="AC14" s="47">
        <f t="shared" si="8"/>
        <v>16500</v>
      </c>
      <c r="AD14" s="47">
        <f t="shared" si="8"/>
        <v>16850</v>
      </c>
      <c r="AE14" s="47">
        <f t="shared" si="8"/>
        <v>17200</v>
      </c>
      <c r="AF14" s="47">
        <f t="shared" si="8"/>
        <v>17550</v>
      </c>
      <c r="AG14" s="47">
        <f t="shared" si="8"/>
        <v>17900</v>
      </c>
      <c r="AH14" s="47">
        <f t="shared" si="8"/>
        <v>18250</v>
      </c>
    </row>
    <row r="15" spans="1:34" ht="12">
      <c r="A15" s="91" t="s">
        <v>16</v>
      </c>
      <c r="B15" s="92" t="s">
        <v>21</v>
      </c>
      <c r="C15" s="127"/>
      <c r="D15" s="146">
        <f>MIN(IF(K15&lt;&gt;0,S15,1),OBPH1)</f>
        <v>1</v>
      </c>
      <c r="E15" s="146">
        <f t="shared" si="2"/>
        <v>1</v>
      </c>
      <c r="F15" s="135">
        <v>0.01</v>
      </c>
      <c r="G15" s="136">
        <v>1</v>
      </c>
      <c r="H15" s="146">
        <f t="shared" si="3"/>
        <v>1</v>
      </c>
      <c r="I15" s="93"/>
      <c r="J15" s="94"/>
      <c r="K15" s="122">
        <f>IF(C15=0,IF(L15=0,IF(OR(A15&amp;B15=MASTER!$I$7&amp;RIGHT(MASTER!$J$7,2),A15&amp;B15=MASTER!$I$8&amp;RIGHT(MASTER!$J$8,2),A15&amp;B15=MASTER!$M$8&amp;RIGHT(MASTER!$N$8,2)),"Y",0),"Y"),C15)</f>
        <v>0</v>
      </c>
      <c r="L15" s="122">
        <f>IF(A15&amp;B15=MASTER!$I$7&amp;RIGHT(MASTER!$J$7,2),A15,IF(A15&amp;B15=MASTER!$I$8&amp;RIGHT(MASTER!$J$8,2),A15,IF(A15&amp;B15=MASTER!$M$8&amp;RIGHT(MASTER!$N$8,2),A15,0)))</f>
        <v>0</v>
      </c>
      <c r="M15" s="95">
        <f t="shared" si="4"/>
        <v>0</v>
      </c>
      <c r="N15" s="118" t="str">
        <f t="shared" si="6"/>
        <v>Mar</v>
      </c>
      <c r="O15" s="46">
        <f>INCN</f>
        <v>350</v>
      </c>
      <c r="P15" s="47">
        <f>BP</f>
        <v>13000</v>
      </c>
      <c r="R15" s="47">
        <f>INDEX(MASTER!$AN$12:MASTER!$AW$22,MATCH('Manual Data'!$M15+OI,MASTER!$AW$12:MASTER!$AW$22,0),5)</f>
        <v>18250</v>
      </c>
      <c r="S15" s="47">
        <f>INDEX(MASTER!$AN$12:MASTER!$AW$22,MATCH('Manual Data'!$M15+OI,MASTER!$AW$12:MASTER!$AW$22,0),4)</f>
        <v>13000</v>
      </c>
      <c r="T15" s="47">
        <f aca="true" t="shared" si="9" ref="T15:AH15">IF(S15&lt;$R$11,S15+$O15,$R15)</f>
        <v>13350</v>
      </c>
      <c r="U15" s="47">
        <f t="shared" si="9"/>
        <v>13700</v>
      </c>
      <c r="V15" s="47">
        <f t="shared" si="9"/>
        <v>14050</v>
      </c>
      <c r="W15" s="47">
        <f t="shared" si="9"/>
        <v>14400</v>
      </c>
      <c r="X15" s="47">
        <f t="shared" si="9"/>
        <v>14750</v>
      </c>
      <c r="Y15" s="47">
        <f t="shared" si="9"/>
        <v>15100</v>
      </c>
      <c r="Z15" s="47">
        <f t="shared" si="9"/>
        <v>15450</v>
      </c>
      <c r="AA15" s="47">
        <f t="shared" si="9"/>
        <v>15800</v>
      </c>
      <c r="AB15" s="47">
        <f t="shared" si="9"/>
        <v>16150</v>
      </c>
      <c r="AC15" s="47">
        <f t="shared" si="9"/>
        <v>16500</v>
      </c>
      <c r="AD15" s="47">
        <f t="shared" si="9"/>
        <v>16850</v>
      </c>
      <c r="AE15" s="47">
        <f t="shared" si="9"/>
        <v>17200</v>
      </c>
      <c r="AF15" s="47">
        <f t="shared" si="9"/>
        <v>17550</v>
      </c>
      <c r="AG15" s="47">
        <f t="shared" si="9"/>
        <v>17900</v>
      </c>
      <c r="AH15" s="47">
        <f t="shared" si="9"/>
        <v>18250</v>
      </c>
    </row>
    <row r="16" spans="1:34" ht="12">
      <c r="A16" s="91" t="s">
        <v>17</v>
      </c>
      <c r="B16" s="92" t="s">
        <v>21</v>
      </c>
      <c r="C16" s="127"/>
      <c r="D16" s="146">
        <f>MIN(IF(K16&lt;&gt;0,S16,1),OBPH1)</f>
        <v>1</v>
      </c>
      <c r="E16" s="146">
        <f t="shared" si="2"/>
        <v>1</v>
      </c>
      <c r="F16" s="135">
        <v>0.01</v>
      </c>
      <c r="G16" s="136">
        <v>1</v>
      </c>
      <c r="H16" s="146">
        <f t="shared" si="3"/>
        <v>1</v>
      </c>
      <c r="I16" s="93"/>
      <c r="J16" s="94"/>
      <c r="K16" s="122">
        <f>IF(C16=0,IF(L16=0,IF(OR(A16&amp;B16=MASTER!$I$7&amp;RIGHT(MASTER!$J$7,2),A16&amp;B16=MASTER!$I$8&amp;RIGHT(MASTER!$J$8,2),A16&amp;B16=MASTER!$M$8&amp;RIGHT(MASTER!$N$8,2)),"Y",0),"Y"),C16)</f>
        <v>0</v>
      </c>
      <c r="L16" s="122">
        <f>IF(A16&amp;B16=MASTER!$I$7&amp;RIGHT(MASTER!$J$7,2),A16,IF(A16&amp;B16=MASTER!$I$8&amp;RIGHT(MASTER!$J$8,2),A16,IF(A16&amp;B16=MASTER!$M$8&amp;RIGHT(MASTER!$N$8,2),A16,0)))</f>
        <v>0</v>
      </c>
      <c r="M16" s="95">
        <f t="shared" si="4"/>
        <v>0</v>
      </c>
      <c r="N16" s="118" t="str">
        <f t="shared" si="6"/>
        <v>Mar</v>
      </c>
      <c r="O16" s="46">
        <f>INCN</f>
        <v>350</v>
      </c>
      <c r="P16" s="47">
        <f>BP</f>
        <v>13000</v>
      </c>
      <c r="R16" s="47">
        <f>INDEX(MASTER!$AN$12:MASTER!$AW$22,MATCH('Manual Data'!$M16+OI,MASTER!$AW$12:MASTER!$AW$22,0),5)</f>
        <v>18250</v>
      </c>
      <c r="S16" s="47">
        <f>INDEX(MASTER!$AN$12:MASTER!$AW$22,MATCH('Manual Data'!$M16+OI,MASTER!$AW$12:MASTER!$AW$22,0),4)</f>
        <v>13000</v>
      </c>
      <c r="T16" s="47">
        <f aca="true" t="shared" si="10" ref="T16:AH16">IF(S16&lt;$R$11,S16+$O16,$R16)</f>
        <v>13350</v>
      </c>
      <c r="U16" s="47">
        <f t="shared" si="10"/>
        <v>13700</v>
      </c>
      <c r="V16" s="47">
        <f t="shared" si="10"/>
        <v>14050</v>
      </c>
      <c r="W16" s="47">
        <f t="shared" si="10"/>
        <v>14400</v>
      </c>
      <c r="X16" s="47">
        <f t="shared" si="10"/>
        <v>14750</v>
      </c>
      <c r="Y16" s="47">
        <f t="shared" si="10"/>
        <v>15100</v>
      </c>
      <c r="Z16" s="47">
        <f t="shared" si="10"/>
        <v>15450</v>
      </c>
      <c r="AA16" s="47">
        <f t="shared" si="10"/>
        <v>15800</v>
      </c>
      <c r="AB16" s="47">
        <f t="shared" si="10"/>
        <v>16150</v>
      </c>
      <c r="AC16" s="47">
        <f t="shared" si="10"/>
        <v>16500</v>
      </c>
      <c r="AD16" s="47">
        <f t="shared" si="10"/>
        <v>16850</v>
      </c>
      <c r="AE16" s="47">
        <f t="shared" si="10"/>
        <v>17200</v>
      </c>
      <c r="AF16" s="47">
        <f t="shared" si="10"/>
        <v>17550</v>
      </c>
      <c r="AG16" s="47">
        <f t="shared" si="10"/>
        <v>17900</v>
      </c>
      <c r="AH16" s="47">
        <f t="shared" si="10"/>
        <v>18250</v>
      </c>
    </row>
    <row r="17" spans="1:34" ht="12">
      <c r="A17" s="91" t="s">
        <v>18</v>
      </c>
      <c r="B17" s="92" t="s">
        <v>21</v>
      </c>
      <c r="C17" s="127"/>
      <c r="D17" s="146">
        <f>MIN(IF(K17&lt;&gt;0,S17,1),OBPH1)</f>
        <v>1</v>
      </c>
      <c r="E17" s="146">
        <f t="shared" si="2"/>
        <v>1</v>
      </c>
      <c r="F17" s="135">
        <v>0.01</v>
      </c>
      <c r="G17" s="136">
        <v>1</v>
      </c>
      <c r="H17" s="146">
        <f t="shared" si="3"/>
        <v>1</v>
      </c>
      <c r="I17" s="93"/>
      <c r="J17" s="94"/>
      <c r="K17" s="122">
        <f>IF(C17=0,IF(L17=0,IF(OR(A17&amp;B17=MASTER!$I$7&amp;RIGHT(MASTER!$J$7,2),A17&amp;B17=MASTER!$I$8&amp;RIGHT(MASTER!$J$8,2),A17&amp;B17=MASTER!$M$8&amp;RIGHT(MASTER!$N$8,2)),"Y",0),"Y"),C17)</f>
        <v>0</v>
      </c>
      <c r="L17" s="122">
        <f>IF(A17&amp;B17=MASTER!$I$7&amp;RIGHT(MASTER!$J$7,2),A17,IF(A17&amp;B17=MASTER!$I$8&amp;RIGHT(MASTER!$J$8,2),A17,IF(A17&amp;B17=MASTER!$M$8&amp;RIGHT(MASTER!$N$8,2),A17,0)))</f>
        <v>0</v>
      </c>
      <c r="M17" s="95">
        <f t="shared" si="4"/>
        <v>0</v>
      </c>
      <c r="N17" s="118" t="str">
        <f t="shared" si="6"/>
        <v>Mar</v>
      </c>
      <c r="O17" s="46">
        <f>INCN</f>
        <v>350</v>
      </c>
      <c r="P17" s="47">
        <f>BP</f>
        <v>13000</v>
      </c>
      <c r="R17" s="47">
        <f>INDEX(MASTER!$AN$12:MASTER!$AW$22,MATCH('Manual Data'!$M17+OI,MASTER!$AW$12:MASTER!$AW$22,0),5)</f>
        <v>18250</v>
      </c>
      <c r="S17" s="47">
        <f>INDEX(MASTER!$AN$12:MASTER!$AW$22,MATCH('Manual Data'!$M17+OI,MASTER!$AW$12:MASTER!$AW$22,0),4)</f>
        <v>13000</v>
      </c>
      <c r="T17" s="47">
        <f aca="true" t="shared" si="11" ref="T17:AH17">IF(S17&lt;$R$11,S17+$O17,$R17)</f>
        <v>13350</v>
      </c>
      <c r="U17" s="47">
        <f t="shared" si="11"/>
        <v>13700</v>
      </c>
      <c r="V17" s="47">
        <f t="shared" si="11"/>
        <v>14050</v>
      </c>
      <c r="W17" s="47">
        <f t="shared" si="11"/>
        <v>14400</v>
      </c>
      <c r="X17" s="47">
        <f t="shared" si="11"/>
        <v>14750</v>
      </c>
      <c r="Y17" s="47">
        <f t="shared" si="11"/>
        <v>15100</v>
      </c>
      <c r="Z17" s="47">
        <f t="shared" si="11"/>
        <v>15450</v>
      </c>
      <c r="AA17" s="47">
        <f t="shared" si="11"/>
        <v>15800</v>
      </c>
      <c r="AB17" s="47">
        <f t="shared" si="11"/>
        <v>16150</v>
      </c>
      <c r="AC17" s="47">
        <f t="shared" si="11"/>
        <v>16500</v>
      </c>
      <c r="AD17" s="47">
        <f t="shared" si="11"/>
        <v>16850</v>
      </c>
      <c r="AE17" s="47">
        <f t="shared" si="11"/>
        <v>17200</v>
      </c>
      <c r="AF17" s="47">
        <f t="shared" si="11"/>
        <v>17550</v>
      </c>
      <c r="AG17" s="47">
        <f t="shared" si="11"/>
        <v>17900</v>
      </c>
      <c r="AH17" s="47">
        <f t="shared" si="11"/>
        <v>18250</v>
      </c>
    </row>
    <row r="18" spans="1:34" ht="12">
      <c r="A18" s="91" t="s">
        <v>19</v>
      </c>
      <c r="B18" s="92" t="s">
        <v>21</v>
      </c>
      <c r="C18" s="127"/>
      <c r="D18" s="146">
        <f>MIN(IF(K18&lt;&gt;0,S18,1),OBPH1)</f>
        <v>1</v>
      </c>
      <c r="E18" s="146">
        <f t="shared" si="2"/>
        <v>1</v>
      </c>
      <c r="F18" s="135">
        <v>0.01</v>
      </c>
      <c r="G18" s="136">
        <v>1</v>
      </c>
      <c r="H18" s="146">
        <f t="shared" si="3"/>
        <v>1</v>
      </c>
      <c r="I18" s="93"/>
      <c r="J18" s="94"/>
      <c r="K18" s="122">
        <f>IF(C18=0,IF(L18=0,IF(OR(A18&amp;B18=MASTER!$I$7&amp;RIGHT(MASTER!$J$7,2),A18&amp;B18=MASTER!$I$8&amp;RIGHT(MASTER!$J$8,2),A18&amp;B18=MASTER!$M$8&amp;RIGHT(MASTER!$N$8,2)),"Y",0),"Y"),C18)</f>
        <v>0</v>
      </c>
      <c r="L18" s="122">
        <f>IF(A18&amp;B18=MASTER!$I$7&amp;RIGHT(MASTER!$J$7,2),A18,IF(A18&amp;B18=MASTER!$I$8&amp;RIGHT(MASTER!$J$8,2),A18,IF(A18&amp;B18=MASTER!$M$8&amp;RIGHT(MASTER!$N$8,2),A18,0)))</f>
        <v>0</v>
      </c>
      <c r="M18" s="95">
        <f t="shared" si="4"/>
        <v>0</v>
      </c>
      <c r="N18" s="118" t="str">
        <f t="shared" si="6"/>
        <v>Mar</v>
      </c>
      <c r="O18" s="46">
        <f>INCN</f>
        <v>350</v>
      </c>
      <c r="P18" s="47">
        <f>BP</f>
        <v>13000</v>
      </c>
      <c r="R18" s="47">
        <f>INDEX(MASTER!$AN$12:MASTER!$AW$22,MATCH('Manual Data'!$M18+OI,MASTER!$AW$12:MASTER!$AW$22,0),5)</f>
        <v>18250</v>
      </c>
      <c r="S18" s="47">
        <f>INDEX(MASTER!$AN$12:MASTER!$AW$22,MATCH('Manual Data'!$M18+OI,MASTER!$AW$12:MASTER!$AW$22,0),4)</f>
        <v>13000</v>
      </c>
      <c r="T18" s="47">
        <f aca="true" t="shared" si="12" ref="T18:AH18">IF(S18&lt;$R$11,S18+$O18,$R18)</f>
        <v>13350</v>
      </c>
      <c r="U18" s="47">
        <f t="shared" si="12"/>
        <v>13700</v>
      </c>
      <c r="V18" s="47">
        <f t="shared" si="12"/>
        <v>14050</v>
      </c>
      <c r="W18" s="47">
        <f t="shared" si="12"/>
        <v>14400</v>
      </c>
      <c r="X18" s="47">
        <f t="shared" si="12"/>
        <v>14750</v>
      </c>
      <c r="Y18" s="47">
        <f t="shared" si="12"/>
        <v>15100</v>
      </c>
      <c r="Z18" s="47">
        <f t="shared" si="12"/>
        <v>15450</v>
      </c>
      <c r="AA18" s="47">
        <f t="shared" si="12"/>
        <v>15800</v>
      </c>
      <c r="AB18" s="47">
        <f t="shared" si="12"/>
        <v>16150</v>
      </c>
      <c r="AC18" s="47">
        <f t="shared" si="12"/>
        <v>16500</v>
      </c>
      <c r="AD18" s="47">
        <f t="shared" si="12"/>
        <v>16850</v>
      </c>
      <c r="AE18" s="47">
        <f t="shared" si="12"/>
        <v>17200</v>
      </c>
      <c r="AF18" s="47">
        <f t="shared" si="12"/>
        <v>17550</v>
      </c>
      <c r="AG18" s="47">
        <f t="shared" si="12"/>
        <v>17900</v>
      </c>
      <c r="AH18" s="47">
        <f t="shared" si="12"/>
        <v>18250</v>
      </c>
    </row>
    <row r="19" spans="1:34" ht="12">
      <c r="A19" s="91" t="s">
        <v>20</v>
      </c>
      <c r="B19" s="92" t="s">
        <v>21</v>
      </c>
      <c r="C19" s="127"/>
      <c r="D19" s="146">
        <f>MIN(IF(K19&lt;&gt;0,S19,1),OBPH1)</f>
        <v>1</v>
      </c>
      <c r="E19" s="146">
        <f t="shared" si="2"/>
        <v>1</v>
      </c>
      <c r="F19" s="135">
        <v>0.01</v>
      </c>
      <c r="G19" s="136">
        <v>1</v>
      </c>
      <c r="H19" s="146">
        <f t="shared" si="3"/>
        <v>1</v>
      </c>
      <c r="I19" s="93"/>
      <c r="J19" s="94"/>
      <c r="K19" s="122">
        <f>IF(C19=0,IF(L19=0,IF(OR(A19&amp;B19=MASTER!$I$7&amp;RIGHT(MASTER!$J$7,2),A19&amp;B19=MASTER!$I$8&amp;RIGHT(MASTER!$J$8,2),A19&amp;B19=MASTER!$M$8&amp;RIGHT(MASTER!$N$8,2)),"Y",0),"Y"),C19)</f>
        <v>0</v>
      </c>
      <c r="L19" s="122">
        <f>IF(A19&amp;B19=MASTER!$I$7&amp;RIGHT(MASTER!$J$7,2),A19,IF(A19&amp;B19=MASTER!$I$8&amp;RIGHT(MASTER!$J$8,2),A19,IF(A19&amp;B19=MASTER!$M$8&amp;RIGHT(MASTER!$N$8,2),A19,0)))</f>
        <v>0</v>
      </c>
      <c r="M19" s="95">
        <f t="shared" si="4"/>
        <v>0</v>
      </c>
      <c r="N19" s="118" t="str">
        <f t="shared" si="6"/>
        <v>Mar</v>
      </c>
      <c r="O19" s="46">
        <f>INCN</f>
        <v>350</v>
      </c>
      <c r="P19" s="47">
        <f>BP</f>
        <v>13000</v>
      </c>
      <c r="R19" s="47">
        <f>INDEX(MASTER!$AN$12:MASTER!$AW$22,MATCH('Manual Data'!$M19+OI,MASTER!$AW$12:MASTER!$AW$22,0),5)</f>
        <v>18250</v>
      </c>
      <c r="S19" s="47">
        <f>INDEX(MASTER!$AN$12:MASTER!$AW$22,MATCH('Manual Data'!$M19+OI,MASTER!$AW$12:MASTER!$AW$22,0),4)</f>
        <v>13000</v>
      </c>
      <c r="T19" s="47">
        <f aca="true" t="shared" si="13" ref="T19:AH19">IF(S19&lt;$R$11,S19+$O19,$R19)</f>
        <v>13350</v>
      </c>
      <c r="U19" s="47">
        <f t="shared" si="13"/>
        <v>13700</v>
      </c>
      <c r="V19" s="47">
        <f t="shared" si="13"/>
        <v>14050</v>
      </c>
      <c r="W19" s="47">
        <f t="shared" si="13"/>
        <v>14400</v>
      </c>
      <c r="X19" s="47">
        <f t="shared" si="13"/>
        <v>14750</v>
      </c>
      <c r="Y19" s="47">
        <f t="shared" si="13"/>
        <v>15100</v>
      </c>
      <c r="Z19" s="47">
        <f t="shared" si="13"/>
        <v>15450</v>
      </c>
      <c r="AA19" s="47">
        <f t="shared" si="13"/>
        <v>15800</v>
      </c>
      <c r="AB19" s="47">
        <f t="shared" si="13"/>
        <v>16150</v>
      </c>
      <c r="AC19" s="47">
        <f t="shared" si="13"/>
        <v>16500</v>
      </c>
      <c r="AD19" s="47">
        <f t="shared" si="13"/>
        <v>16850</v>
      </c>
      <c r="AE19" s="47">
        <f t="shared" si="13"/>
        <v>17200</v>
      </c>
      <c r="AF19" s="47">
        <f t="shared" si="13"/>
        <v>17550</v>
      </c>
      <c r="AG19" s="47">
        <f t="shared" si="13"/>
        <v>17900</v>
      </c>
      <c r="AH19" s="47">
        <f t="shared" si="13"/>
        <v>18250</v>
      </c>
    </row>
    <row r="20" spans="1:34" ht="12">
      <c r="A20" s="91" t="s">
        <v>0</v>
      </c>
      <c r="B20" s="92" t="s">
        <v>21</v>
      </c>
      <c r="C20" s="127"/>
      <c r="D20" s="146">
        <f>MIN(IF(K20&lt;&gt;0,S20,1),OBPH1)</f>
        <v>1</v>
      </c>
      <c r="E20" s="146">
        <f t="shared" si="2"/>
        <v>1</v>
      </c>
      <c r="F20" s="135">
        <v>0.01</v>
      </c>
      <c r="G20" s="136">
        <v>1</v>
      </c>
      <c r="H20" s="146">
        <f t="shared" si="3"/>
        <v>1</v>
      </c>
      <c r="I20" s="93"/>
      <c r="J20" s="94"/>
      <c r="K20" s="122">
        <f>IF(C20=0,IF(L20=0,IF(OR(A20&amp;B20=MASTER!$I$7&amp;RIGHT(MASTER!$J$7,2),A20&amp;B20=MASTER!$I$8&amp;RIGHT(MASTER!$J$8,2),A20&amp;B20=MASTER!$M$8&amp;RIGHT(MASTER!$N$8,2)),"Y",0),"Y"),C20)</f>
        <v>0</v>
      </c>
      <c r="L20" s="122">
        <f>IF(A20&amp;B20=MASTER!$I$7&amp;RIGHT(MASTER!$J$7,2),A20,IF(A20&amp;B20=MASTER!$I$8&amp;RIGHT(MASTER!$J$8,2),A20,IF(A20&amp;B20=MASTER!$M$8&amp;RIGHT(MASTER!$N$8,2),A20,0)))</f>
        <v>0</v>
      </c>
      <c r="M20" s="95">
        <f t="shared" si="4"/>
        <v>0</v>
      </c>
      <c r="N20" s="118" t="str">
        <f t="shared" si="6"/>
        <v>Mar</v>
      </c>
      <c r="O20" s="46">
        <f>INCN</f>
        <v>350</v>
      </c>
      <c r="P20" s="47">
        <f>BP</f>
        <v>13000</v>
      </c>
      <c r="R20" s="47">
        <f>INDEX(MASTER!$AN$12:MASTER!$AW$22,MATCH('Manual Data'!$M20+OI,MASTER!$AW$12:MASTER!$AW$22,0),5)</f>
        <v>18250</v>
      </c>
      <c r="S20" s="47">
        <f>INDEX(MASTER!$AN$12:MASTER!$AW$22,MATCH('Manual Data'!$M20+OI,MASTER!$AW$12:MASTER!$AW$22,0),4)</f>
        <v>13000</v>
      </c>
      <c r="T20" s="47">
        <f aca="true" t="shared" si="14" ref="T20:AH20">IF(S20&lt;$R$11,S20+$O20,$R20)</f>
        <v>13350</v>
      </c>
      <c r="U20" s="47">
        <f t="shared" si="14"/>
        <v>13700</v>
      </c>
      <c r="V20" s="47">
        <f t="shared" si="14"/>
        <v>14050</v>
      </c>
      <c r="W20" s="47">
        <f t="shared" si="14"/>
        <v>14400</v>
      </c>
      <c r="X20" s="47">
        <f t="shared" si="14"/>
        <v>14750</v>
      </c>
      <c r="Y20" s="47">
        <f t="shared" si="14"/>
        <v>15100</v>
      </c>
      <c r="Z20" s="47">
        <f t="shared" si="14"/>
        <v>15450</v>
      </c>
      <c r="AA20" s="47">
        <f t="shared" si="14"/>
        <v>15800</v>
      </c>
      <c r="AB20" s="47">
        <f t="shared" si="14"/>
        <v>16150</v>
      </c>
      <c r="AC20" s="47">
        <f t="shared" si="14"/>
        <v>16500</v>
      </c>
      <c r="AD20" s="47">
        <f t="shared" si="14"/>
        <v>16850</v>
      </c>
      <c r="AE20" s="47">
        <f t="shared" si="14"/>
        <v>17200</v>
      </c>
      <c r="AF20" s="47">
        <f t="shared" si="14"/>
        <v>17550</v>
      </c>
      <c r="AG20" s="47">
        <f t="shared" si="14"/>
        <v>17900</v>
      </c>
      <c r="AH20" s="47">
        <f t="shared" si="14"/>
        <v>18250</v>
      </c>
    </row>
    <row r="21" spans="1:34" ht="12">
      <c r="A21" s="91" t="s">
        <v>10</v>
      </c>
      <c r="B21" s="92" t="s">
        <v>21</v>
      </c>
      <c r="C21" s="127"/>
      <c r="D21" s="146">
        <f>MIN(IF(K21&lt;&gt;0,S21,1),OBPH1)</f>
        <v>1</v>
      </c>
      <c r="E21" s="146">
        <f t="shared" si="2"/>
        <v>1</v>
      </c>
      <c r="F21" s="135">
        <v>0.01</v>
      </c>
      <c r="G21" s="136">
        <v>1</v>
      </c>
      <c r="H21" s="146">
        <f t="shared" si="3"/>
        <v>1</v>
      </c>
      <c r="I21" s="93"/>
      <c r="J21" s="94"/>
      <c r="K21" s="122">
        <f>IF(C21=0,IF(L21=0,IF(OR(A21&amp;B21=MASTER!$I$7&amp;RIGHT(MASTER!$J$7,2),A21&amp;B21=MASTER!$I$8&amp;RIGHT(MASTER!$J$8,2),A21&amp;B21=MASTER!$M$8&amp;RIGHT(MASTER!$N$8,2)),"Y",0),"Y"),C21)</f>
        <v>0</v>
      </c>
      <c r="L21" s="122">
        <f>IF(A21&amp;B21=MASTER!$I$7&amp;RIGHT(MASTER!$J$7,2),A21,IF(A21&amp;B21=MASTER!$I$8&amp;RIGHT(MASTER!$J$8,2),A21,IF(A21&amp;B21=MASTER!$M$8&amp;RIGHT(MASTER!$N$8,2),A21,0)))</f>
        <v>0</v>
      </c>
      <c r="M21" s="95">
        <f t="shared" si="4"/>
        <v>0</v>
      </c>
      <c r="N21" s="118" t="str">
        <f t="shared" si="6"/>
        <v>Mar</v>
      </c>
      <c r="O21" s="46">
        <f>INCN</f>
        <v>350</v>
      </c>
      <c r="P21" s="47">
        <f>BP</f>
        <v>13000</v>
      </c>
      <c r="R21" s="47">
        <f>INDEX(MASTER!$AN$12:MASTER!$AW$22,MATCH('Manual Data'!$M21+OI,MASTER!$AW$12:MASTER!$AW$22,0),5)</f>
        <v>18250</v>
      </c>
      <c r="S21" s="47">
        <f>INDEX(MASTER!$AN$12:MASTER!$AW$22,MATCH('Manual Data'!$M21+OI,MASTER!$AW$12:MASTER!$AW$22,0),4)</f>
        <v>13000</v>
      </c>
      <c r="T21" s="47">
        <f aca="true" t="shared" si="15" ref="T21:AH21">IF(S21&lt;$R$11,S21+$O21,$R21)</f>
        <v>13350</v>
      </c>
      <c r="U21" s="47">
        <f t="shared" si="15"/>
        <v>13700</v>
      </c>
      <c r="V21" s="47">
        <f t="shared" si="15"/>
        <v>14050</v>
      </c>
      <c r="W21" s="47">
        <f t="shared" si="15"/>
        <v>14400</v>
      </c>
      <c r="X21" s="47">
        <f t="shared" si="15"/>
        <v>14750</v>
      </c>
      <c r="Y21" s="47">
        <f t="shared" si="15"/>
        <v>15100</v>
      </c>
      <c r="Z21" s="47">
        <f t="shared" si="15"/>
        <v>15450</v>
      </c>
      <c r="AA21" s="47">
        <f t="shared" si="15"/>
        <v>15800</v>
      </c>
      <c r="AB21" s="47">
        <f t="shared" si="15"/>
        <v>16150</v>
      </c>
      <c r="AC21" s="47">
        <f t="shared" si="15"/>
        <v>16500</v>
      </c>
      <c r="AD21" s="47">
        <f t="shared" si="15"/>
        <v>16850</v>
      </c>
      <c r="AE21" s="47">
        <f t="shared" si="15"/>
        <v>17200</v>
      </c>
      <c r="AF21" s="47">
        <f t="shared" si="15"/>
        <v>17550</v>
      </c>
      <c r="AG21" s="47">
        <f t="shared" si="15"/>
        <v>17900</v>
      </c>
      <c r="AH21" s="47">
        <f t="shared" si="15"/>
        <v>18250</v>
      </c>
    </row>
    <row r="22" spans="1:34" ht="12">
      <c r="A22" s="91" t="s">
        <v>11</v>
      </c>
      <c r="B22" s="92" t="s">
        <v>21</v>
      </c>
      <c r="C22" s="127"/>
      <c r="D22" s="146">
        <f>MIN(IF(K22&lt;&gt;0,S22,1),OBPH1)</f>
        <v>1</v>
      </c>
      <c r="E22" s="146">
        <f t="shared" si="2"/>
        <v>1</v>
      </c>
      <c r="F22" s="135">
        <v>0.01</v>
      </c>
      <c r="G22" s="136">
        <v>1</v>
      </c>
      <c r="H22" s="146">
        <f t="shared" si="3"/>
        <v>1</v>
      </c>
      <c r="I22" s="93"/>
      <c r="J22" s="94"/>
      <c r="K22" s="122">
        <f>IF(C22=0,IF(L22=0,IF(OR(A22&amp;B22=MASTER!$I$7&amp;RIGHT(MASTER!$J$7,2),A22&amp;B22=MASTER!$I$8&amp;RIGHT(MASTER!$J$8,2),A22&amp;B22=MASTER!$M$8&amp;RIGHT(MASTER!$N$8,2)),"Y",0),"Y"),C22)</f>
        <v>0</v>
      </c>
      <c r="L22" s="122">
        <f>IF(A22&amp;B22=MASTER!$I$7&amp;RIGHT(MASTER!$J$7,2),A22,IF(A22&amp;B22=MASTER!$I$8&amp;RIGHT(MASTER!$J$8,2),A22,IF(A22&amp;B22=MASTER!$M$8&amp;RIGHT(MASTER!$N$8,2),A22,0)))</f>
        <v>0</v>
      </c>
      <c r="M22" s="95">
        <f t="shared" si="4"/>
        <v>0</v>
      </c>
      <c r="N22" s="118" t="str">
        <f t="shared" si="6"/>
        <v>Mar</v>
      </c>
      <c r="O22" s="46">
        <f>INCN</f>
        <v>350</v>
      </c>
      <c r="P22" s="47">
        <f>BP</f>
        <v>13000</v>
      </c>
      <c r="R22" s="47">
        <f>INDEX(MASTER!$AN$12:MASTER!$AW$22,MATCH('Manual Data'!$M22+OI,MASTER!$AW$12:MASTER!$AW$22,0),5)</f>
        <v>18250</v>
      </c>
      <c r="S22" s="47">
        <f>INDEX(MASTER!$AN$12:MASTER!$AW$22,MATCH('Manual Data'!$M22+OI,MASTER!$AW$12:MASTER!$AW$22,0),4)</f>
        <v>13000</v>
      </c>
      <c r="T22" s="47">
        <f aca="true" t="shared" si="16" ref="T22:AH22">IF(S22&lt;$R$11,S22+$O22,$R22)</f>
        <v>13350</v>
      </c>
      <c r="U22" s="47">
        <f t="shared" si="16"/>
        <v>13700</v>
      </c>
      <c r="V22" s="47">
        <f t="shared" si="16"/>
        <v>14050</v>
      </c>
      <c r="W22" s="47">
        <f t="shared" si="16"/>
        <v>14400</v>
      </c>
      <c r="X22" s="47">
        <f t="shared" si="16"/>
        <v>14750</v>
      </c>
      <c r="Y22" s="47">
        <f t="shared" si="16"/>
        <v>15100</v>
      </c>
      <c r="Z22" s="47">
        <f t="shared" si="16"/>
        <v>15450</v>
      </c>
      <c r="AA22" s="47">
        <f t="shared" si="16"/>
        <v>15800</v>
      </c>
      <c r="AB22" s="47">
        <f t="shared" si="16"/>
        <v>16150</v>
      </c>
      <c r="AC22" s="47">
        <f t="shared" si="16"/>
        <v>16500</v>
      </c>
      <c r="AD22" s="47">
        <f t="shared" si="16"/>
        <v>16850</v>
      </c>
      <c r="AE22" s="47">
        <f t="shared" si="16"/>
        <v>17200</v>
      </c>
      <c r="AF22" s="47">
        <f t="shared" si="16"/>
        <v>17550</v>
      </c>
      <c r="AG22" s="47">
        <f t="shared" si="16"/>
        <v>17900</v>
      </c>
      <c r="AH22" s="47">
        <f t="shared" si="16"/>
        <v>18250</v>
      </c>
    </row>
    <row r="23" spans="1:34" ht="12">
      <c r="A23" s="91" t="s">
        <v>12</v>
      </c>
      <c r="B23" s="92" t="s">
        <v>23</v>
      </c>
      <c r="C23" s="127"/>
      <c r="D23" s="146">
        <f>MIN(IF(K23&lt;&gt;0,S23,1),OBPH1)</f>
        <v>1</v>
      </c>
      <c r="E23" s="146">
        <f t="shared" si="2"/>
        <v>1</v>
      </c>
      <c r="F23" s="135">
        <v>0.01</v>
      </c>
      <c r="G23" s="136">
        <v>1</v>
      </c>
      <c r="H23" s="146">
        <f t="shared" si="3"/>
        <v>1</v>
      </c>
      <c r="I23" s="93"/>
      <c r="J23" s="94"/>
      <c r="K23" s="122">
        <f>IF(C23=0,IF(L23=0,IF(OR(A23&amp;B23=MASTER!$I$7&amp;RIGHT(MASTER!$J$7,2),A23&amp;B23=MASTER!$I$8&amp;RIGHT(MASTER!$J$8,2),A23&amp;B23=MASTER!$M$8&amp;RIGHT(MASTER!$N$8,2)),"Y",0),"Y"),C23)</f>
        <v>0</v>
      </c>
      <c r="L23" s="122">
        <f>IF(A23&amp;B23=MASTER!$I$7&amp;RIGHT(MASTER!$J$7,2),A23,IF(A23&amp;B23=MASTER!$I$8&amp;RIGHT(MASTER!$J$8,2),A23,IF(A23&amp;B23=MASTER!$M$8&amp;RIGHT(MASTER!$N$8,2),A23,0)))</f>
        <v>0</v>
      </c>
      <c r="M23" s="95">
        <f t="shared" si="4"/>
        <v>0</v>
      </c>
      <c r="N23" s="118" t="str">
        <f t="shared" si="6"/>
        <v>Mar</v>
      </c>
      <c r="O23" s="46">
        <f>INCN</f>
        <v>350</v>
      </c>
      <c r="P23" s="47">
        <f>BP</f>
        <v>13000</v>
      </c>
      <c r="R23" s="47">
        <f>INDEX(MASTER!$AN$12:MASTER!$AW$22,MATCH('Manual Data'!$M23+OI,MASTER!$AW$12:MASTER!$AW$22,0),5)</f>
        <v>18250</v>
      </c>
      <c r="S23" s="47">
        <f>INDEX(MASTER!$AN$12:MASTER!$AW$22,MATCH('Manual Data'!$M23+OI,MASTER!$AW$12:MASTER!$AW$22,0),4)</f>
        <v>13000</v>
      </c>
      <c r="T23" s="47">
        <f aca="true" t="shared" si="17" ref="T23:AH23">IF(S23&lt;$R$11,S23+$O23,$R23)</f>
        <v>13350</v>
      </c>
      <c r="U23" s="47">
        <f t="shared" si="17"/>
        <v>13700</v>
      </c>
      <c r="V23" s="47">
        <f t="shared" si="17"/>
        <v>14050</v>
      </c>
      <c r="W23" s="47">
        <f t="shared" si="17"/>
        <v>14400</v>
      </c>
      <c r="X23" s="47">
        <f t="shared" si="17"/>
        <v>14750</v>
      </c>
      <c r="Y23" s="47">
        <f t="shared" si="17"/>
        <v>15100</v>
      </c>
      <c r="Z23" s="47">
        <f t="shared" si="17"/>
        <v>15450</v>
      </c>
      <c r="AA23" s="47">
        <f t="shared" si="17"/>
        <v>15800</v>
      </c>
      <c r="AB23" s="47">
        <f t="shared" si="17"/>
        <v>16150</v>
      </c>
      <c r="AC23" s="47">
        <f t="shared" si="17"/>
        <v>16500</v>
      </c>
      <c r="AD23" s="47">
        <f t="shared" si="17"/>
        <v>16850</v>
      </c>
      <c r="AE23" s="47">
        <f t="shared" si="17"/>
        <v>17200</v>
      </c>
      <c r="AF23" s="47">
        <f t="shared" si="17"/>
        <v>17550</v>
      </c>
      <c r="AG23" s="47">
        <f t="shared" si="17"/>
        <v>17900</v>
      </c>
      <c r="AH23" s="47">
        <f t="shared" si="17"/>
        <v>18250</v>
      </c>
    </row>
    <row r="24" spans="1:34" ht="12">
      <c r="A24" s="91" t="s">
        <v>13</v>
      </c>
      <c r="B24" s="92" t="s">
        <v>23</v>
      </c>
      <c r="C24" s="127"/>
      <c r="D24" s="146">
        <f>MIN(IF(K24&lt;&gt;0,S24,1),OBPH1)</f>
        <v>1</v>
      </c>
      <c r="E24" s="146">
        <f t="shared" si="2"/>
        <v>1</v>
      </c>
      <c r="F24" s="135">
        <v>0.01</v>
      </c>
      <c r="G24" s="136">
        <v>1</v>
      </c>
      <c r="H24" s="146">
        <f t="shared" si="3"/>
        <v>1</v>
      </c>
      <c r="I24" s="93"/>
      <c r="J24" s="94"/>
      <c r="K24" s="122">
        <f>IF(C24=0,IF(L24=0,IF(OR(A24&amp;B24=MASTER!$I$7&amp;RIGHT(MASTER!$J$7,2),A24&amp;B24=MASTER!$I$8&amp;RIGHT(MASTER!$J$8,2),A24&amp;B24=MASTER!$M$8&amp;RIGHT(MASTER!$N$8,2)),"Y",0),"Y"),C24)</f>
        <v>0</v>
      </c>
      <c r="L24" s="122">
        <f>IF(A24&amp;B24=MASTER!$I$7&amp;RIGHT(MASTER!$J$7,2),A24,IF(A24&amp;B24=MASTER!$I$8&amp;RIGHT(MASTER!$J$8,2),A24,IF(A24&amp;B24=MASTER!$M$8&amp;RIGHT(MASTER!$N$8,2),A24,0)))</f>
        <v>0</v>
      </c>
      <c r="M24" s="95">
        <f t="shared" si="4"/>
        <v>0</v>
      </c>
      <c r="N24" s="118" t="str">
        <f t="shared" si="6"/>
        <v>Mar</v>
      </c>
      <c r="O24" s="46">
        <f>INCN</f>
        <v>350</v>
      </c>
      <c r="P24" s="47">
        <f>BP</f>
        <v>13000</v>
      </c>
      <c r="R24" s="47">
        <f>INDEX(MASTER!$AN$12:MASTER!$AW$22,MATCH('Manual Data'!$M24+OI,MASTER!$AW$12:MASTER!$AW$22,0),5)</f>
        <v>18250</v>
      </c>
      <c r="S24" s="47">
        <f>INDEX(MASTER!$AN$12:MASTER!$AW$22,MATCH('Manual Data'!$M24+OI,MASTER!$AW$12:MASTER!$AW$22,0),4)</f>
        <v>13000</v>
      </c>
      <c r="T24" s="47">
        <f aca="true" t="shared" si="18" ref="T24:AH24">IF(S24&lt;$R$11,S24+$O24,$R24)</f>
        <v>13350</v>
      </c>
      <c r="U24" s="47">
        <f t="shared" si="18"/>
        <v>13700</v>
      </c>
      <c r="V24" s="47">
        <f t="shared" si="18"/>
        <v>14050</v>
      </c>
      <c r="W24" s="47">
        <f t="shared" si="18"/>
        <v>14400</v>
      </c>
      <c r="X24" s="47">
        <f t="shared" si="18"/>
        <v>14750</v>
      </c>
      <c r="Y24" s="47">
        <f t="shared" si="18"/>
        <v>15100</v>
      </c>
      <c r="Z24" s="47">
        <f t="shared" si="18"/>
        <v>15450</v>
      </c>
      <c r="AA24" s="47">
        <f t="shared" si="18"/>
        <v>15800</v>
      </c>
      <c r="AB24" s="47">
        <f t="shared" si="18"/>
        <v>16150</v>
      </c>
      <c r="AC24" s="47">
        <f t="shared" si="18"/>
        <v>16500</v>
      </c>
      <c r="AD24" s="47">
        <f t="shared" si="18"/>
        <v>16850</v>
      </c>
      <c r="AE24" s="47">
        <f t="shared" si="18"/>
        <v>17200</v>
      </c>
      <c r="AF24" s="47">
        <f t="shared" si="18"/>
        <v>17550</v>
      </c>
      <c r="AG24" s="47">
        <f t="shared" si="18"/>
        <v>17900</v>
      </c>
      <c r="AH24" s="47">
        <f t="shared" si="18"/>
        <v>18250</v>
      </c>
    </row>
    <row r="25" spans="1:34" ht="12">
      <c r="A25" s="91" t="s">
        <v>14</v>
      </c>
      <c r="B25" s="92" t="s">
        <v>23</v>
      </c>
      <c r="C25" s="127"/>
      <c r="D25" s="146">
        <f>MIN(IF(K25&lt;&gt;0,S25,1),OBPH1)</f>
        <v>1</v>
      </c>
      <c r="E25" s="146">
        <f t="shared" si="2"/>
        <v>1</v>
      </c>
      <c r="F25" s="135">
        <v>0.01</v>
      </c>
      <c r="G25" s="136">
        <v>1</v>
      </c>
      <c r="H25" s="146">
        <f t="shared" si="3"/>
        <v>1</v>
      </c>
      <c r="I25" s="93"/>
      <c r="J25" s="94"/>
      <c r="K25" s="122">
        <f>IF(C25=0,IF(L25=0,IF(OR(A25&amp;B25=MASTER!$I$7&amp;RIGHT(MASTER!$J$7,2),A25&amp;B25=MASTER!$I$8&amp;RIGHT(MASTER!$J$8,2),A25&amp;B25=MASTER!$M$8&amp;RIGHT(MASTER!$N$8,2)),"Y",0),"Y"),C25)</f>
        <v>0</v>
      </c>
      <c r="L25" s="122">
        <f>IF(A25&amp;B25=MASTER!$I$7&amp;RIGHT(MASTER!$J$7,2),A25,IF(A25&amp;B25=MASTER!$I$8&amp;RIGHT(MASTER!$J$8,2),A25,IF(A25&amp;B25=MASTER!$M$8&amp;RIGHT(MASTER!$N$8,2),A25,0)))</f>
        <v>0</v>
      </c>
      <c r="M25" s="95">
        <f t="shared" si="4"/>
        <v>0</v>
      </c>
      <c r="N25" s="118" t="str">
        <f t="shared" si="6"/>
        <v>Mar</v>
      </c>
      <c r="O25" s="46">
        <f>INCN</f>
        <v>350</v>
      </c>
      <c r="P25" s="47">
        <f>BP</f>
        <v>13000</v>
      </c>
      <c r="R25" s="47">
        <f>INDEX(MASTER!$AN$12:MASTER!$AW$22,MATCH('Manual Data'!$M25+OI,MASTER!$AW$12:MASTER!$AW$22,0),5)</f>
        <v>18250</v>
      </c>
      <c r="S25" s="47">
        <f>INDEX(MASTER!$AN$12:MASTER!$AW$22,MATCH('Manual Data'!$M25+OI,MASTER!$AW$12:MASTER!$AW$22,0),4)</f>
        <v>13000</v>
      </c>
      <c r="T25" s="47">
        <f aca="true" t="shared" si="19" ref="T25:AH25">IF(S25&lt;$R$11,S25+$O25,$R25)</f>
        <v>13350</v>
      </c>
      <c r="U25" s="47">
        <f t="shared" si="19"/>
        <v>13700</v>
      </c>
      <c r="V25" s="47">
        <f t="shared" si="19"/>
        <v>14050</v>
      </c>
      <c r="W25" s="47">
        <f t="shared" si="19"/>
        <v>14400</v>
      </c>
      <c r="X25" s="47">
        <f t="shared" si="19"/>
        <v>14750</v>
      </c>
      <c r="Y25" s="47">
        <f t="shared" si="19"/>
        <v>15100</v>
      </c>
      <c r="Z25" s="47">
        <f t="shared" si="19"/>
        <v>15450</v>
      </c>
      <c r="AA25" s="47">
        <f t="shared" si="19"/>
        <v>15800</v>
      </c>
      <c r="AB25" s="47">
        <f t="shared" si="19"/>
        <v>16150</v>
      </c>
      <c r="AC25" s="47">
        <f t="shared" si="19"/>
        <v>16500</v>
      </c>
      <c r="AD25" s="47">
        <f t="shared" si="19"/>
        <v>16850</v>
      </c>
      <c r="AE25" s="47">
        <f t="shared" si="19"/>
        <v>17200</v>
      </c>
      <c r="AF25" s="47">
        <f t="shared" si="19"/>
        <v>17550</v>
      </c>
      <c r="AG25" s="47">
        <f t="shared" si="19"/>
        <v>17900</v>
      </c>
      <c r="AH25" s="47">
        <f t="shared" si="19"/>
        <v>18250</v>
      </c>
    </row>
    <row r="26" spans="1:34" ht="12">
      <c r="A26" s="91" t="s">
        <v>15</v>
      </c>
      <c r="B26" s="92" t="s">
        <v>23</v>
      </c>
      <c r="C26" s="127"/>
      <c r="D26" s="146">
        <f>MIN(IF(K26&lt;&gt;0,S26,1),OBPH1)</f>
        <v>1</v>
      </c>
      <c r="E26" s="146">
        <f t="shared" si="2"/>
        <v>1</v>
      </c>
      <c r="F26" s="135">
        <v>0.01</v>
      </c>
      <c r="G26" s="136">
        <v>1</v>
      </c>
      <c r="H26" s="146">
        <f t="shared" si="3"/>
        <v>1</v>
      </c>
      <c r="I26" s="93"/>
      <c r="J26" s="94"/>
      <c r="K26" s="122">
        <f>IF(C26=0,IF(L26=0,IF(OR(A26&amp;B26=MASTER!$I$7&amp;RIGHT(MASTER!$J$7,2),A26&amp;B26=MASTER!$I$8&amp;RIGHT(MASTER!$J$8,2),A26&amp;B26=MASTER!$M$8&amp;RIGHT(MASTER!$N$8,2)),"Y",0),"Y"),C26)</f>
        <v>0</v>
      </c>
      <c r="L26" s="122">
        <f>IF(A26&amp;B26=MASTER!$I$7&amp;RIGHT(MASTER!$J$7,2),A26,IF(A26&amp;B26=MASTER!$I$8&amp;RIGHT(MASTER!$J$8,2),A26,IF(A26&amp;B26=MASTER!$M$8&amp;RIGHT(MASTER!$N$8,2),A26,0)))</f>
        <v>0</v>
      </c>
      <c r="M26" s="95">
        <f t="shared" si="4"/>
        <v>0</v>
      </c>
      <c r="N26" s="118" t="str">
        <f t="shared" si="6"/>
        <v>Mar</v>
      </c>
      <c r="O26" s="46">
        <f>INCN</f>
        <v>350</v>
      </c>
      <c r="P26" s="47">
        <f>BP</f>
        <v>13000</v>
      </c>
      <c r="R26" s="47">
        <f>INDEX(MASTER!$AN$12:MASTER!$AW$22,MATCH('Manual Data'!$M26+OI,MASTER!$AW$12:MASTER!$AW$22,0),5)</f>
        <v>18250</v>
      </c>
      <c r="S26" s="47">
        <f>INDEX(MASTER!$AN$12:MASTER!$AW$22,MATCH('Manual Data'!$M26+OI,MASTER!$AW$12:MASTER!$AW$22,0),4)</f>
        <v>13000</v>
      </c>
      <c r="T26" s="47">
        <f aca="true" t="shared" si="20" ref="T26:AH26">IF(S26&lt;$R$11,S26+$O26,$R26)</f>
        <v>13350</v>
      </c>
      <c r="U26" s="47">
        <f t="shared" si="20"/>
        <v>13700</v>
      </c>
      <c r="V26" s="47">
        <f t="shared" si="20"/>
        <v>14050</v>
      </c>
      <c r="W26" s="47">
        <f t="shared" si="20"/>
        <v>14400</v>
      </c>
      <c r="X26" s="47">
        <f t="shared" si="20"/>
        <v>14750</v>
      </c>
      <c r="Y26" s="47">
        <f t="shared" si="20"/>
        <v>15100</v>
      </c>
      <c r="Z26" s="47">
        <f t="shared" si="20"/>
        <v>15450</v>
      </c>
      <c r="AA26" s="47">
        <f t="shared" si="20"/>
        <v>15800</v>
      </c>
      <c r="AB26" s="47">
        <f t="shared" si="20"/>
        <v>16150</v>
      </c>
      <c r="AC26" s="47">
        <f t="shared" si="20"/>
        <v>16500</v>
      </c>
      <c r="AD26" s="47">
        <f t="shared" si="20"/>
        <v>16850</v>
      </c>
      <c r="AE26" s="47">
        <f t="shared" si="20"/>
        <v>17200</v>
      </c>
      <c r="AF26" s="47">
        <f t="shared" si="20"/>
        <v>17550</v>
      </c>
      <c r="AG26" s="47">
        <f t="shared" si="20"/>
        <v>17900</v>
      </c>
      <c r="AH26" s="47">
        <f t="shared" si="20"/>
        <v>18250</v>
      </c>
    </row>
    <row r="27" spans="1:34" ht="12">
      <c r="A27" s="91" t="s">
        <v>16</v>
      </c>
      <c r="B27" s="92" t="s">
        <v>23</v>
      </c>
      <c r="C27" s="127"/>
      <c r="D27" s="146">
        <f>MIN(IF(K27&lt;&gt;0,S27,1),OBPH1)</f>
        <v>1</v>
      </c>
      <c r="E27" s="146">
        <f t="shared" si="2"/>
        <v>1</v>
      </c>
      <c r="F27" s="135">
        <v>0.01</v>
      </c>
      <c r="G27" s="136">
        <v>1</v>
      </c>
      <c r="H27" s="146">
        <f t="shared" si="3"/>
        <v>1</v>
      </c>
      <c r="I27" s="93"/>
      <c r="J27" s="94"/>
      <c r="K27" s="122">
        <f>IF(C27=0,IF(L27=0,IF(OR(A27&amp;B27=MASTER!$I$7&amp;RIGHT(MASTER!$J$7,2),A27&amp;B27=MASTER!$I$8&amp;RIGHT(MASTER!$J$8,2),A27&amp;B27=MASTER!$M$8&amp;RIGHT(MASTER!$N$8,2)),"Y",0),"Y"),C27)</f>
        <v>0</v>
      </c>
      <c r="L27" s="122">
        <f>IF(A27&amp;B27=MASTER!$I$7&amp;RIGHT(MASTER!$J$7,2),A27,IF(A27&amp;B27=MASTER!$I$8&amp;RIGHT(MASTER!$J$8,2),A27,IF(A27&amp;B27=MASTER!$M$8&amp;RIGHT(MASTER!$N$8,2),A27,0)))</f>
        <v>0</v>
      </c>
      <c r="M27" s="95">
        <f t="shared" si="4"/>
        <v>0</v>
      </c>
      <c r="N27" s="118" t="str">
        <f t="shared" si="6"/>
        <v>Mar</v>
      </c>
      <c r="O27" s="46">
        <f>INCN</f>
        <v>350</v>
      </c>
      <c r="P27" s="47">
        <f>BP</f>
        <v>13000</v>
      </c>
      <c r="R27" s="47">
        <f>INDEX(MASTER!$AN$12:MASTER!$AW$22,MATCH('Manual Data'!$M27+OI,MASTER!$AW$12:MASTER!$AW$22,0),5)</f>
        <v>18250</v>
      </c>
      <c r="S27" s="47">
        <f>INDEX(MASTER!$AN$12:MASTER!$AW$22,MATCH('Manual Data'!$M27+OI,MASTER!$AW$12:MASTER!$AW$22,0),4)</f>
        <v>13000</v>
      </c>
      <c r="T27" s="47">
        <f aca="true" t="shared" si="21" ref="T27:AH27">IF(S27&lt;$R$11,S27+$O27,$R27)</f>
        <v>13350</v>
      </c>
      <c r="U27" s="47">
        <f t="shared" si="21"/>
        <v>13700</v>
      </c>
      <c r="V27" s="47">
        <f t="shared" si="21"/>
        <v>14050</v>
      </c>
      <c r="W27" s="47">
        <f t="shared" si="21"/>
        <v>14400</v>
      </c>
      <c r="X27" s="47">
        <f t="shared" si="21"/>
        <v>14750</v>
      </c>
      <c r="Y27" s="47">
        <f t="shared" si="21"/>
        <v>15100</v>
      </c>
      <c r="Z27" s="47">
        <f t="shared" si="21"/>
        <v>15450</v>
      </c>
      <c r="AA27" s="47">
        <f t="shared" si="21"/>
        <v>15800</v>
      </c>
      <c r="AB27" s="47">
        <f t="shared" si="21"/>
        <v>16150</v>
      </c>
      <c r="AC27" s="47">
        <f t="shared" si="21"/>
        <v>16500</v>
      </c>
      <c r="AD27" s="47">
        <f t="shared" si="21"/>
        <v>16850</v>
      </c>
      <c r="AE27" s="47">
        <f t="shared" si="21"/>
        <v>17200</v>
      </c>
      <c r="AF27" s="47">
        <f t="shared" si="21"/>
        <v>17550</v>
      </c>
      <c r="AG27" s="47">
        <f t="shared" si="21"/>
        <v>17900</v>
      </c>
      <c r="AH27" s="47">
        <f t="shared" si="21"/>
        <v>18250</v>
      </c>
    </row>
    <row r="28" spans="1:34" ht="12">
      <c r="A28" s="91" t="s">
        <v>17</v>
      </c>
      <c r="B28" s="92" t="s">
        <v>23</v>
      </c>
      <c r="C28" s="127"/>
      <c r="D28" s="146">
        <f>MIN(IF(K28&lt;&gt;0,S28,1),OBPH1)</f>
        <v>1</v>
      </c>
      <c r="E28" s="146">
        <f t="shared" si="2"/>
        <v>1</v>
      </c>
      <c r="F28" s="135">
        <v>0.01</v>
      </c>
      <c r="G28" s="136">
        <v>1</v>
      </c>
      <c r="H28" s="146">
        <f t="shared" si="3"/>
        <v>1</v>
      </c>
      <c r="I28" s="93"/>
      <c r="J28" s="94"/>
      <c r="K28" s="122">
        <f>IF(C28=0,IF(L28=0,IF(OR(A28&amp;B28=MASTER!$I$7&amp;RIGHT(MASTER!$J$7,2),A28&amp;B28=MASTER!$I$8&amp;RIGHT(MASTER!$J$8,2),A28&amp;B28=MASTER!$M$8&amp;RIGHT(MASTER!$N$8,2)),"Y",0),"Y"),C28)</f>
        <v>0</v>
      </c>
      <c r="L28" s="122">
        <f>IF(A28&amp;B28=MASTER!$I$7&amp;RIGHT(MASTER!$J$7,2),A28,IF(A28&amp;B28=MASTER!$I$8&amp;RIGHT(MASTER!$J$8,2),A28,IF(A28&amp;B28=MASTER!$M$8&amp;RIGHT(MASTER!$N$8,2),A28,0)))</f>
        <v>0</v>
      </c>
      <c r="M28" s="95">
        <f t="shared" si="4"/>
        <v>0</v>
      </c>
      <c r="N28" s="118" t="str">
        <f t="shared" si="6"/>
        <v>Mar</v>
      </c>
      <c r="O28" s="46">
        <f>INCN</f>
        <v>350</v>
      </c>
      <c r="P28" s="47">
        <f>BP</f>
        <v>13000</v>
      </c>
      <c r="R28" s="47">
        <f>INDEX(MASTER!$AN$12:MASTER!$AW$22,MATCH('Manual Data'!$M28+OI,MASTER!$AW$12:MASTER!$AW$22,0),5)</f>
        <v>18250</v>
      </c>
      <c r="S28" s="47">
        <f>INDEX(MASTER!$AN$12:MASTER!$AW$22,MATCH('Manual Data'!$M28+OI,MASTER!$AW$12:MASTER!$AW$22,0),4)</f>
        <v>13000</v>
      </c>
      <c r="T28" s="47">
        <f aca="true" t="shared" si="22" ref="T28:AH28">IF(S28&lt;$R$11,S28+$O28,$R28)</f>
        <v>13350</v>
      </c>
      <c r="U28" s="47">
        <f t="shared" si="22"/>
        <v>13700</v>
      </c>
      <c r="V28" s="47">
        <f t="shared" si="22"/>
        <v>14050</v>
      </c>
      <c r="W28" s="47">
        <f t="shared" si="22"/>
        <v>14400</v>
      </c>
      <c r="X28" s="47">
        <f t="shared" si="22"/>
        <v>14750</v>
      </c>
      <c r="Y28" s="47">
        <f t="shared" si="22"/>
        <v>15100</v>
      </c>
      <c r="Z28" s="47">
        <f t="shared" si="22"/>
        <v>15450</v>
      </c>
      <c r="AA28" s="47">
        <f t="shared" si="22"/>
        <v>15800</v>
      </c>
      <c r="AB28" s="47">
        <f t="shared" si="22"/>
        <v>16150</v>
      </c>
      <c r="AC28" s="47">
        <f t="shared" si="22"/>
        <v>16500</v>
      </c>
      <c r="AD28" s="47">
        <f t="shared" si="22"/>
        <v>16850</v>
      </c>
      <c r="AE28" s="47">
        <f t="shared" si="22"/>
        <v>17200</v>
      </c>
      <c r="AF28" s="47">
        <f t="shared" si="22"/>
        <v>17550</v>
      </c>
      <c r="AG28" s="47">
        <f t="shared" si="22"/>
        <v>17900</v>
      </c>
      <c r="AH28" s="47">
        <f t="shared" si="22"/>
        <v>18250</v>
      </c>
    </row>
    <row r="29" spans="1:34" ht="12">
      <c r="A29" s="91" t="s">
        <v>18</v>
      </c>
      <c r="B29" s="92" t="s">
        <v>23</v>
      </c>
      <c r="C29" s="127"/>
      <c r="D29" s="146">
        <f>MIN(IF(K29&lt;&gt;0,S29,1),OBPH1)</f>
        <v>1</v>
      </c>
      <c r="E29" s="146">
        <f t="shared" si="2"/>
        <v>1</v>
      </c>
      <c r="F29" s="135">
        <v>0.01</v>
      </c>
      <c r="G29" s="136">
        <v>1</v>
      </c>
      <c r="H29" s="146">
        <f t="shared" si="3"/>
        <v>1</v>
      </c>
      <c r="I29" s="93"/>
      <c r="J29" s="94"/>
      <c r="K29" s="122">
        <f>IF(C29=0,IF(L29=0,IF(OR(A29&amp;B29=MASTER!$I$7&amp;RIGHT(MASTER!$J$7,2),A29&amp;B29=MASTER!$I$8&amp;RIGHT(MASTER!$J$8,2),A29&amp;B29=MASTER!$M$8&amp;RIGHT(MASTER!$N$8,2)),"Y",0),"Y"),C29)</f>
        <v>0</v>
      </c>
      <c r="L29" s="122">
        <f>IF(A29&amp;B29=MASTER!$I$7&amp;RIGHT(MASTER!$J$7,2),A29,IF(A29&amp;B29=MASTER!$I$8&amp;RIGHT(MASTER!$J$8,2),A29,IF(A29&amp;B29=MASTER!$M$8&amp;RIGHT(MASTER!$N$8,2),A29,0)))</f>
        <v>0</v>
      </c>
      <c r="M29" s="95">
        <f t="shared" si="4"/>
        <v>0</v>
      </c>
      <c r="N29" s="118" t="str">
        <f t="shared" si="6"/>
        <v>Mar</v>
      </c>
      <c r="O29" s="46">
        <f>INCN</f>
        <v>350</v>
      </c>
      <c r="P29" s="47">
        <f>BP</f>
        <v>13000</v>
      </c>
      <c r="R29" s="47">
        <f>INDEX(MASTER!$AN$12:MASTER!$AW$22,MATCH('Manual Data'!$M29+OI,MASTER!$AW$12:MASTER!$AW$22,0),5)</f>
        <v>18250</v>
      </c>
      <c r="S29" s="47">
        <f>INDEX(MASTER!$AN$12:MASTER!$AW$22,MATCH('Manual Data'!$M29+OI,MASTER!$AW$12:MASTER!$AW$22,0),4)</f>
        <v>13000</v>
      </c>
      <c r="T29" s="47">
        <f aca="true" t="shared" si="23" ref="T29:AH29">IF(S29&lt;$R$11,S29+$O29,$R29)</f>
        <v>13350</v>
      </c>
      <c r="U29" s="47">
        <f t="shared" si="23"/>
        <v>13700</v>
      </c>
      <c r="V29" s="47">
        <f t="shared" si="23"/>
        <v>14050</v>
      </c>
      <c r="W29" s="47">
        <f t="shared" si="23"/>
        <v>14400</v>
      </c>
      <c r="X29" s="47">
        <f t="shared" si="23"/>
        <v>14750</v>
      </c>
      <c r="Y29" s="47">
        <f t="shared" si="23"/>
        <v>15100</v>
      </c>
      <c r="Z29" s="47">
        <f t="shared" si="23"/>
        <v>15450</v>
      </c>
      <c r="AA29" s="47">
        <f t="shared" si="23"/>
        <v>15800</v>
      </c>
      <c r="AB29" s="47">
        <f t="shared" si="23"/>
        <v>16150</v>
      </c>
      <c r="AC29" s="47">
        <f t="shared" si="23"/>
        <v>16500</v>
      </c>
      <c r="AD29" s="47">
        <f t="shared" si="23"/>
        <v>16850</v>
      </c>
      <c r="AE29" s="47">
        <f t="shared" si="23"/>
        <v>17200</v>
      </c>
      <c r="AF29" s="47">
        <f t="shared" si="23"/>
        <v>17550</v>
      </c>
      <c r="AG29" s="47">
        <f t="shared" si="23"/>
        <v>17900</v>
      </c>
      <c r="AH29" s="47">
        <f t="shared" si="23"/>
        <v>18250</v>
      </c>
    </row>
    <row r="30" spans="1:34" ht="12">
      <c r="A30" s="91" t="s">
        <v>19</v>
      </c>
      <c r="B30" s="92" t="s">
        <v>23</v>
      </c>
      <c r="C30" s="127"/>
      <c r="D30" s="146">
        <f>MIN(IF(K30&lt;&gt;0,S30,1),OBPH1)</f>
        <v>1</v>
      </c>
      <c r="E30" s="146">
        <f t="shared" si="2"/>
        <v>1</v>
      </c>
      <c r="F30" s="135">
        <v>0.01</v>
      </c>
      <c r="G30" s="136">
        <v>1</v>
      </c>
      <c r="H30" s="146">
        <f t="shared" si="3"/>
        <v>1</v>
      </c>
      <c r="I30" s="93"/>
      <c r="J30" s="94"/>
      <c r="K30" s="122">
        <f>IF(C30=0,IF(L30=0,IF(OR(A30&amp;B30=MASTER!$I$7&amp;RIGHT(MASTER!$J$7,2),A30&amp;B30=MASTER!$I$8&amp;RIGHT(MASTER!$J$8,2),A30&amp;B30=MASTER!$M$8&amp;RIGHT(MASTER!$N$8,2)),"Y",0),"Y"),C30)</f>
        <v>0</v>
      </c>
      <c r="L30" s="122">
        <f>IF(A30&amp;B30=MASTER!$I$7&amp;RIGHT(MASTER!$J$7,2),A30,IF(A30&amp;B30=MASTER!$I$8&amp;RIGHT(MASTER!$J$8,2),A30,IF(A30&amp;B30=MASTER!$M$8&amp;RIGHT(MASTER!$N$8,2),A30,0)))</f>
        <v>0</v>
      </c>
      <c r="M30" s="95">
        <f t="shared" si="4"/>
        <v>0</v>
      </c>
      <c r="N30" s="118" t="str">
        <f t="shared" si="6"/>
        <v>Mar</v>
      </c>
      <c r="O30" s="46">
        <f>INCN</f>
        <v>350</v>
      </c>
      <c r="P30" s="47">
        <f>BP</f>
        <v>13000</v>
      </c>
      <c r="R30" s="47">
        <f>INDEX(MASTER!$AN$12:MASTER!$AW$22,MATCH('Manual Data'!$M30+OI,MASTER!$AW$12:MASTER!$AW$22,0),5)</f>
        <v>18250</v>
      </c>
      <c r="S30" s="47">
        <f>INDEX(MASTER!$AN$12:MASTER!$AW$22,MATCH('Manual Data'!$M30+OI,MASTER!$AW$12:MASTER!$AW$22,0),4)</f>
        <v>13000</v>
      </c>
      <c r="T30" s="47">
        <f aca="true" t="shared" si="24" ref="T30:AH30">IF(S30&lt;$R$11,S30+$O30,$R30)</f>
        <v>13350</v>
      </c>
      <c r="U30" s="47">
        <f t="shared" si="24"/>
        <v>13700</v>
      </c>
      <c r="V30" s="47">
        <f t="shared" si="24"/>
        <v>14050</v>
      </c>
      <c r="W30" s="47">
        <f t="shared" si="24"/>
        <v>14400</v>
      </c>
      <c r="X30" s="47">
        <f t="shared" si="24"/>
        <v>14750</v>
      </c>
      <c r="Y30" s="47">
        <f t="shared" si="24"/>
        <v>15100</v>
      </c>
      <c r="Z30" s="47">
        <f t="shared" si="24"/>
        <v>15450</v>
      </c>
      <c r="AA30" s="47">
        <f t="shared" si="24"/>
        <v>15800</v>
      </c>
      <c r="AB30" s="47">
        <f t="shared" si="24"/>
        <v>16150</v>
      </c>
      <c r="AC30" s="47">
        <f t="shared" si="24"/>
        <v>16500</v>
      </c>
      <c r="AD30" s="47">
        <f t="shared" si="24"/>
        <v>16850</v>
      </c>
      <c r="AE30" s="47">
        <f t="shared" si="24"/>
        <v>17200</v>
      </c>
      <c r="AF30" s="47">
        <f t="shared" si="24"/>
        <v>17550</v>
      </c>
      <c r="AG30" s="47">
        <f t="shared" si="24"/>
        <v>17900</v>
      </c>
      <c r="AH30" s="47">
        <f t="shared" si="24"/>
        <v>18250</v>
      </c>
    </row>
    <row r="31" spans="1:34" ht="12">
      <c r="A31" s="91" t="s">
        <v>20</v>
      </c>
      <c r="B31" s="92" t="s">
        <v>23</v>
      </c>
      <c r="C31" s="127"/>
      <c r="D31" s="146">
        <f>MIN(IF(K31&lt;&gt;0,S31,1),OBPH1)</f>
        <v>1</v>
      </c>
      <c r="E31" s="146">
        <f t="shared" si="2"/>
        <v>1</v>
      </c>
      <c r="F31" s="135">
        <v>0.01</v>
      </c>
      <c r="G31" s="136">
        <v>1</v>
      </c>
      <c r="H31" s="146">
        <f t="shared" si="3"/>
        <v>1</v>
      </c>
      <c r="I31" s="93"/>
      <c r="J31" s="94"/>
      <c r="K31" s="122">
        <f>IF(C31=0,IF(L31=0,IF(OR(A31&amp;B31=MASTER!$I$7&amp;RIGHT(MASTER!$J$7,2),A31&amp;B31=MASTER!$I$8&amp;RIGHT(MASTER!$J$8,2),A31&amp;B31=MASTER!$M$8&amp;RIGHT(MASTER!$N$8,2)),"Y",0),"Y"),C31)</f>
        <v>0</v>
      </c>
      <c r="L31" s="122">
        <f>IF(A31&amp;B31=MASTER!$I$7&amp;RIGHT(MASTER!$J$7,2),A31,IF(A31&amp;B31=MASTER!$I$8&amp;RIGHT(MASTER!$J$8,2),A31,IF(A31&amp;B31=MASTER!$M$8&amp;RIGHT(MASTER!$N$8,2),A31,0)))</f>
        <v>0</v>
      </c>
      <c r="M31" s="95">
        <f t="shared" si="4"/>
        <v>0</v>
      </c>
      <c r="N31" s="118" t="str">
        <f t="shared" si="6"/>
        <v>Mar</v>
      </c>
      <c r="O31" s="46">
        <f>INCN</f>
        <v>350</v>
      </c>
      <c r="P31" s="47">
        <f>BP</f>
        <v>13000</v>
      </c>
      <c r="R31" s="47">
        <f>INDEX(MASTER!$AN$12:MASTER!$AW$22,MATCH('Manual Data'!$M31+OI,MASTER!$AW$12:MASTER!$AW$22,0),5)</f>
        <v>18250</v>
      </c>
      <c r="S31" s="47">
        <f>INDEX(MASTER!$AN$12:MASTER!$AW$22,MATCH('Manual Data'!$M31+OI,MASTER!$AW$12:MASTER!$AW$22,0),4)</f>
        <v>13000</v>
      </c>
      <c r="T31" s="47">
        <f aca="true" t="shared" si="25" ref="T31:AH31">IF(S31&lt;$R$11,S31+$O31,$R31)</f>
        <v>13350</v>
      </c>
      <c r="U31" s="47">
        <f t="shared" si="25"/>
        <v>13700</v>
      </c>
      <c r="V31" s="47">
        <f t="shared" si="25"/>
        <v>14050</v>
      </c>
      <c r="W31" s="47">
        <f t="shared" si="25"/>
        <v>14400</v>
      </c>
      <c r="X31" s="47">
        <f t="shared" si="25"/>
        <v>14750</v>
      </c>
      <c r="Y31" s="47">
        <f t="shared" si="25"/>
        <v>15100</v>
      </c>
      <c r="Z31" s="47">
        <f t="shared" si="25"/>
        <v>15450</v>
      </c>
      <c r="AA31" s="47">
        <f t="shared" si="25"/>
        <v>15800</v>
      </c>
      <c r="AB31" s="47">
        <f t="shared" si="25"/>
        <v>16150</v>
      </c>
      <c r="AC31" s="47">
        <f t="shared" si="25"/>
        <v>16500</v>
      </c>
      <c r="AD31" s="47">
        <f t="shared" si="25"/>
        <v>16850</v>
      </c>
      <c r="AE31" s="47">
        <f t="shared" si="25"/>
        <v>17200</v>
      </c>
      <c r="AF31" s="47">
        <f t="shared" si="25"/>
        <v>17550</v>
      </c>
      <c r="AG31" s="47">
        <f t="shared" si="25"/>
        <v>17900</v>
      </c>
      <c r="AH31" s="47">
        <f t="shared" si="25"/>
        <v>18250</v>
      </c>
    </row>
    <row r="32" spans="1:34" ht="12">
      <c r="A32" s="91" t="s">
        <v>0</v>
      </c>
      <c r="B32" s="92" t="s">
        <v>23</v>
      </c>
      <c r="C32" s="127"/>
      <c r="D32" s="146">
        <f>MIN(IF(K32&lt;&gt;0,S32,1),OBPH1)</f>
        <v>1</v>
      </c>
      <c r="E32" s="146">
        <f t="shared" si="2"/>
        <v>1</v>
      </c>
      <c r="F32" s="135">
        <v>0.01</v>
      </c>
      <c r="G32" s="136">
        <v>1</v>
      </c>
      <c r="H32" s="146">
        <f t="shared" si="3"/>
        <v>1</v>
      </c>
      <c r="I32" s="93"/>
      <c r="J32" s="94"/>
      <c r="K32" s="122">
        <f>IF(C32=0,IF(L32=0,IF(OR(A32&amp;B32=MASTER!$I$7&amp;RIGHT(MASTER!$J$7,2),A32&amp;B32=MASTER!$I$8&amp;RIGHT(MASTER!$J$8,2),A32&amp;B32=MASTER!$M$8&amp;RIGHT(MASTER!$N$8,2)),"Y",0),"Y"),C32)</f>
        <v>0</v>
      </c>
      <c r="L32" s="122">
        <f>IF(A32&amp;B32=MASTER!$I$7&amp;RIGHT(MASTER!$J$7,2),A32,IF(A32&amp;B32=MASTER!$I$8&amp;RIGHT(MASTER!$J$8,2),A32,IF(A32&amp;B32=MASTER!$M$8&amp;RIGHT(MASTER!$N$8,2),A32,0)))</f>
        <v>0</v>
      </c>
      <c r="M32" s="95">
        <f t="shared" si="4"/>
        <v>0</v>
      </c>
      <c r="N32" s="118" t="str">
        <f t="shared" si="6"/>
        <v>Mar</v>
      </c>
      <c r="O32" s="46">
        <f>INCN</f>
        <v>350</v>
      </c>
      <c r="P32" s="47">
        <f>BP</f>
        <v>13000</v>
      </c>
      <c r="R32" s="47">
        <f>INDEX(MASTER!$AN$12:MASTER!$AW$22,MATCH('Manual Data'!$M32+OI,MASTER!$AW$12:MASTER!$AW$22,0),5)</f>
        <v>18250</v>
      </c>
      <c r="S32" s="47">
        <f>INDEX(MASTER!$AN$12:MASTER!$AW$22,MATCH('Manual Data'!$M32+OI,MASTER!$AW$12:MASTER!$AW$22,0),4)</f>
        <v>13000</v>
      </c>
      <c r="T32" s="47">
        <f aca="true" t="shared" si="26" ref="T32:AH32">IF(S32&lt;$R$11,S32+$O32,$R32)</f>
        <v>13350</v>
      </c>
      <c r="U32" s="47">
        <f t="shared" si="26"/>
        <v>13700</v>
      </c>
      <c r="V32" s="47">
        <f t="shared" si="26"/>
        <v>14050</v>
      </c>
      <c r="W32" s="47">
        <f t="shared" si="26"/>
        <v>14400</v>
      </c>
      <c r="X32" s="47">
        <f t="shared" si="26"/>
        <v>14750</v>
      </c>
      <c r="Y32" s="47">
        <f t="shared" si="26"/>
        <v>15100</v>
      </c>
      <c r="Z32" s="47">
        <f t="shared" si="26"/>
        <v>15450</v>
      </c>
      <c r="AA32" s="47">
        <f t="shared" si="26"/>
        <v>15800</v>
      </c>
      <c r="AB32" s="47">
        <f t="shared" si="26"/>
        <v>16150</v>
      </c>
      <c r="AC32" s="47">
        <f t="shared" si="26"/>
        <v>16500</v>
      </c>
      <c r="AD32" s="47">
        <f t="shared" si="26"/>
        <v>16850</v>
      </c>
      <c r="AE32" s="47">
        <f t="shared" si="26"/>
        <v>17200</v>
      </c>
      <c r="AF32" s="47">
        <f t="shared" si="26"/>
        <v>17550</v>
      </c>
      <c r="AG32" s="47">
        <f t="shared" si="26"/>
        <v>17900</v>
      </c>
      <c r="AH32" s="47">
        <f t="shared" si="26"/>
        <v>18250</v>
      </c>
    </row>
    <row r="33" spans="1:34" ht="12">
      <c r="A33" s="91" t="s">
        <v>10</v>
      </c>
      <c r="B33" s="92" t="s">
        <v>23</v>
      </c>
      <c r="C33" s="127"/>
      <c r="D33" s="146">
        <f>MIN(IF(K33&lt;&gt;0,S33,1),OBPH1)</f>
        <v>1</v>
      </c>
      <c r="E33" s="146">
        <f t="shared" si="2"/>
        <v>1</v>
      </c>
      <c r="F33" s="135">
        <v>0.01</v>
      </c>
      <c r="G33" s="136">
        <v>1</v>
      </c>
      <c r="H33" s="146">
        <f t="shared" si="3"/>
        <v>1</v>
      </c>
      <c r="I33" s="96"/>
      <c r="J33" s="94"/>
      <c r="K33" s="122">
        <f>IF(C33=0,IF(L33=0,IF(OR(A33&amp;B33=MASTER!$I$7&amp;RIGHT(MASTER!$J$7,2),A33&amp;B33=MASTER!$I$8&amp;RIGHT(MASTER!$J$8,2),A33&amp;B33=MASTER!$M$8&amp;RIGHT(MASTER!$N$8,2)),"Y",0),"Y"),C33)</f>
        <v>0</v>
      </c>
      <c r="L33" s="122">
        <f>IF(A33&amp;B33=MASTER!$I$7&amp;RIGHT(MASTER!$J$7,2),A33,IF(A33&amp;B33=MASTER!$I$8&amp;RIGHT(MASTER!$J$8,2),A33,IF(A33&amp;B33=MASTER!$M$8&amp;RIGHT(MASTER!$N$8,2),A33,0)))</f>
        <v>0</v>
      </c>
      <c r="M33" s="95">
        <f t="shared" si="4"/>
        <v>0</v>
      </c>
      <c r="N33" s="118" t="str">
        <f t="shared" si="6"/>
        <v>Mar</v>
      </c>
      <c r="O33" s="46">
        <f>INCN</f>
        <v>350</v>
      </c>
      <c r="P33" s="47">
        <f>BP</f>
        <v>13000</v>
      </c>
      <c r="R33" s="47">
        <f>INDEX(MASTER!$AN$12:MASTER!$AW$22,MATCH('Manual Data'!$M33+OI,MASTER!$AW$12:MASTER!$AW$22,0),5)</f>
        <v>18250</v>
      </c>
      <c r="S33" s="47">
        <f>INDEX(MASTER!$AN$12:MASTER!$AW$22,MATCH('Manual Data'!$M33+OI,MASTER!$AW$12:MASTER!$AW$22,0),4)</f>
        <v>13000</v>
      </c>
      <c r="T33" s="47">
        <f aca="true" t="shared" si="27" ref="T33:AH33">IF(S33&lt;$R$11,S33+$O33,$R33)</f>
        <v>13350</v>
      </c>
      <c r="U33" s="47">
        <f t="shared" si="27"/>
        <v>13700</v>
      </c>
      <c r="V33" s="47">
        <f t="shared" si="27"/>
        <v>14050</v>
      </c>
      <c r="W33" s="47">
        <f t="shared" si="27"/>
        <v>14400</v>
      </c>
      <c r="X33" s="47">
        <f t="shared" si="27"/>
        <v>14750</v>
      </c>
      <c r="Y33" s="47">
        <f t="shared" si="27"/>
        <v>15100</v>
      </c>
      <c r="Z33" s="47">
        <f t="shared" si="27"/>
        <v>15450</v>
      </c>
      <c r="AA33" s="47">
        <f t="shared" si="27"/>
        <v>15800</v>
      </c>
      <c r="AB33" s="47">
        <f t="shared" si="27"/>
        <v>16150</v>
      </c>
      <c r="AC33" s="47">
        <f t="shared" si="27"/>
        <v>16500</v>
      </c>
      <c r="AD33" s="47">
        <f t="shared" si="27"/>
        <v>16850</v>
      </c>
      <c r="AE33" s="47">
        <f t="shared" si="27"/>
        <v>17200</v>
      </c>
      <c r="AF33" s="47">
        <f t="shared" si="27"/>
        <v>17550</v>
      </c>
      <c r="AG33" s="47">
        <f t="shared" si="27"/>
        <v>17900</v>
      </c>
      <c r="AH33" s="47">
        <f t="shared" si="27"/>
        <v>18250</v>
      </c>
    </row>
    <row r="34" spans="1:34" ht="12">
      <c r="A34" s="91" t="s">
        <v>11</v>
      </c>
      <c r="B34" s="92" t="s">
        <v>23</v>
      </c>
      <c r="C34" s="127"/>
      <c r="D34" s="146">
        <f>MIN(IF(K34&lt;&gt;0,S34,1),OBPH1)</f>
        <v>1</v>
      </c>
      <c r="E34" s="146">
        <f t="shared" si="2"/>
        <v>1</v>
      </c>
      <c r="F34" s="135">
        <v>0.01</v>
      </c>
      <c r="G34" s="136">
        <v>1</v>
      </c>
      <c r="H34" s="146">
        <f t="shared" si="3"/>
        <v>1</v>
      </c>
      <c r="I34" s="97">
        <f aca="true" t="shared" si="28" ref="I34:I65">F34</f>
        <v>0.01</v>
      </c>
      <c r="J34" s="98">
        <f aca="true" t="shared" si="29" ref="J34:J65">G34</f>
        <v>1</v>
      </c>
      <c r="K34" s="122">
        <f>IF(C34=0,IF(L34=0,IF(OR(A34&amp;B34=MASTER!$I$7&amp;RIGHT(MASTER!$J$7,2),A34&amp;B34=MASTER!$I$8&amp;RIGHT(MASTER!$J$8,2),A34&amp;B34=MASTER!$M$8&amp;RIGHT(MASTER!$N$8,2)),"Y",0),"Y"),C34)</f>
        <v>0</v>
      </c>
      <c r="L34" s="122">
        <f>IF(A34&amp;B34=MASTER!$I$7&amp;RIGHT(MASTER!$J$7,2),A34,IF(A34&amp;B34=MASTER!$I$8&amp;RIGHT(MASTER!$J$8,2),A34,IF(A34&amp;B34=MASTER!$M$8&amp;RIGHT(MASTER!$N$8,2),A34,0)))</f>
        <v>0</v>
      </c>
      <c r="M34" s="95">
        <f t="shared" si="4"/>
        <v>0</v>
      </c>
      <c r="N34" s="118" t="str">
        <f t="shared" si="6"/>
        <v>Mar</v>
      </c>
      <c r="O34" s="46">
        <f>INCN</f>
        <v>350</v>
      </c>
      <c r="P34" s="47">
        <f>BP</f>
        <v>13000</v>
      </c>
      <c r="R34" s="47">
        <f>INDEX(MASTER!$AN$12:MASTER!$AW$22,MATCH('Manual Data'!$M34+OI,MASTER!$AW$12:MASTER!$AW$22,0),5)</f>
        <v>18250</v>
      </c>
      <c r="S34" s="47">
        <f>INDEX(MASTER!$AN$12:MASTER!$AW$22,MATCH('Manual Data'!$M34+OI,MASTER!$AW$12:MASTER!$AW$22,0),4)</f>
        <v>13000</v>
      </c>
      <c r="T34" s="47">
        <f aca="true" t="shared" si="30" ref="T34:AH34">IF(S34&lt;$R$11,S34+$O34,$R34)</f>
        <v>13350</v>
      </c>
      <c r="U34" s="47">
        <f t="shared" si="30"/>
        <v>13700</v>
      </c>
      <c r="V34" s="47">
        <f t="shared" si="30"/>
        <v>14050</v>
      </c>
      <c r="W34" s="47">
        <f t="shared" si="30"/>
        <v>14400</v>
      </c>
      <c r="X34" s="47">
        <f t="shared" si="30"/>
        <v>14750</v>
      </c>
      <c r="Y34" s="47">
        <f t="shared" si="30"/>
        <v>15100</v>
      </c>
      <c r="Z34" s="47">
        <f t="shared" si="30"/>
        <v>15450</v>
      </c>
      <c r="AA34" s="47">
        <f t="shared" si="30"/>
        <v>15800</v>
      </c>
      <c r="AB34" s="47">
        <f t="shared" si="30"/>
        <v>16150</v>
      </c>
      <c r="AC34" s="47">
        <f t="shared" si="30"/>
        <v>16500</v>
      </c>
      <c r="AD34" s="47">
        <f t="shared" si="30"/>
        <v>16850</v>
      </c>
      <c r="AE34" s="47">
        <f t="shared" si="30"/>
        <v>17200</v>
      </c>
      <c r="AF34" s="47">
        <f t="shared" si="30"/>
        <v>17550</v>
      </c>
      <c r="AG34" s="47">
        <f t="shared" si="30"/>
        <v>17900</v>
      </c>
      <c r="AH34" s="47">
        <f t="shared" si="30"/>
        <v>18250</v>
      </c>
    </row>
    <row r="35" spans="1:34" ht="12">
      <c r="A35" s="91" t="s">
        <v>12</v>
      </c>
      <c r="B35" s="92" t="s">
        <v>24</v>
      </c>
      <c r="C35" s="127"/>
      <c r="D35" s="146">
        <f>MIN(IF(K35&lt;&gt;0,S35,1),OBPH1)</f>
        <v>1</v>
      </c>
      <c r="E35" s="146">
        <f t="shared" si="2"/>
        <v>1</v>
      </c>
      <c r="F35" s="135">
        <v>0.01</v>
      </c>
      <c r="G35" s="136">
        <v>1</v>
      </c>
      <c r="H35" s="146">
        <f t="shared" si="3"/>
        <v>1</v>
      </c>
      <c r="I35" s="97">
        <f t="shared" si="28"/>
        <v>0.01</v>
      </c>
      <c r="J35" s="98">
        <f t="shared" si="29"/>
        <v>1</v>
      </c>
      <c r="K35" s="122">
        <f>IF(C35=0,IF(L35=0,IF(OR(A35&amp;B35=MASTER!$I$7&amp;RIGHT(MASTER!$J$7,2),A35&amp;B35=MASTER!$I$8&amp;RIGHT(MASTER!$J$8,2),A35&amp;B35=MASTER!$M$8&amp;RIGHT(MASTER!$N$8,2)),"Y",0),"Y"),C35)</f>
        <v>0</v>
      </c>
      <c r="L35" s="122">
        <f>IF(A35&amp;B35=MASTER!$I$7&amp;RIGHT(MASTER!$J$7,2),A35,IF(A35&amp;B35=MASTER!$I$8&amp;RIGHT(MASTER!$J$8,2),A35,IF(A35&amp;B35=MASTER!$M$8&amp;RIGHT(MASTER!$N$8,2),A35,0)))</f>
        <v>0</v>
      </c>
      <c r="M35" s="95">
        <f t="shared" si="4"/>
        <v>0</v>
      </c>
      <c r="N35" s="118" t="str">
        <f t="shared" si="6"/>
        <v>Mar</v>
      </c>
      <c r="O35" s="46">
        <f>INCN</f>
        <v>350</v>
      </c>
      <c r="P35" s="47">
        <f>BP</f>
        <v>13000</v>
      </c>
      <c r="R35" s="47">
        <f>INDEX(MASTER!$AN$12:MASTER!$AW$22,MATCH('Manual Data'!$M35+OI,MASTER!$AW$12:MASTER!$AW$22,0),5)</f>
        <v>18250</v>
      </c>
      <c r="S35" s="47">
        <f>INDEX(MASTER!$AN$12:MASTER!$AW$22,MATCH('Manual Data'!$M35+OI,MASTER!$AW$12:MASTER!$AW$22,0),4)</f>
        <v>13000</v>
      </c>
      <c r="T35" s="47">
        <f aca="true" t="shared" si="31" ref="T35:AH35">IF(S35&lt;$R$11,S35+$O35,$R35)</f>
        <v>13350</v>
      </c>
      <c r="U35" s="47">
        <f t="shared" si="31"/>
        <v>13700</v>
      </c>
      <c r="V35" s="47">
        <f t="shared" si="31"/>
        <v>14050</v>
      </c>
      <c r="W35" s="47">
        <f t="shared" si="31"/>
        <v>14400</v>
      </c>
      <c r="X35" s="47">
        <f t="shared" si="31"/>
        <v>14750</v>
      </c>
      <c r="Y35" s="47">
        <f t="shared" si="31"/>
        <v>15100</v>
      </c>
      <c r="Z35" s="47">
        <f t="shared" si="31"/>
        <v>15450</v>
      </c>
      <c r="AA35" s="47">
        <f t="shared" si="31"/>
        <v>15800</v>
      </c>
      <c r="AB35" s="47">
        <f t="shared" si="31"/>
        <v>16150</v>
      </c>
      <c r="AC35" s="47">
        <f t="shared" si="31"/>
        <v>16500</v>
      </c>
      <c r="AD35" s="47">
        <f t="shared" si="31"/>
        <v>16850</v>
      </c>
      <c r="AE35" s="47">
        <f t="shared" si="31"/>
        <v>17200</v>
      </c>
      <c r="AF35" s="47">
        <f t="shared" si="31"/>
        <v>17550</v>
      </c>
      <c r="AG35" s="47">
        <f t="shared" si="31"/>
        <v>17900</v>
      </c>
      <c r="AH35" s="47">
        <f t="shared" si="31"/>
        <v>18250</v>
      </c>
    </row>
    <row r="36" spans="1:34" ht="12">
      <c r="A36" s="91" t="s">
        <v>13</v>
      </c>
      <c r="B36" s="92" t="s">
        <v>24</v>
      </c>
      <c r="C36" s="127"/>
      <c r="D36" s="146">
        <f>MIN(IF(K36&lt;&gt;0,S36,1),OBPH1)</f>
        <v>1</v>
      </c>
      <c r="E36" s="146">
        <f t="shared" si="2"/>
        <v>1</v>
      </c>
      <c r="F36" s="135">
        <v>0.01</v>
      </c>
      <c r="G36" s="136">
        <v>1</v>
      </c>
      <c r="H36" s="146">
        <f t="shared" si="3"/>
        <v>1</v>
      </c>
      <c r="I36" s="97">
        <f t="shared" si="28"/>
        <v>0.01</v>
      </c>
      <c r="J36" s="98">
        <f t="shared" si="29"/>
        <v>1</v>
      </c>
      <c r="K36" s="122">
        <f>IF(C36=0,IF(L36=0,IF(OR(A36&amp;B36=MASTER!$I$7&amp;RIGHT(MASTER!$J$7,2),A36&amp;B36=MASTER!$I$8&amp;RIGHT(MASTER!$J$8,2),A36&amp;B36=MASTER!$M$8&amp;RIGHT(MASTER!$N$8,2)),"Y",0),"Y"),C36)</f>
        <v>0</v>
      </c>
      <c r="L36" s="122">
        <f>IF(A36&amp;B36=MASTER!$I$7&amp;RIGHT(MASTER!$J$7,2),A36,IF(A36&amp;B36=MASTER!$I$8&amp;RIGHT(MASTER!$J$8,2),A36,IF(A36&amp;B36=MASTER!$M$8&amp;RIGHT(MASTER!$N$8,2),A36,0)))</f>
        <v>0</v>
      </c>
      <c r="M36" s="95">
        <f t="shared" si="4"/>
        <v>0</v>
      </c>
      <c r="N36" s="118" t="str">
        <f t="shared" si="6"/>
        <v>Mar</v>
      </c>
      <c r="O36" s="46">
        <f>INCN</f>
        <v>350</v>
      </c>
      <c r="P36" s="47">
        <f>BP</f>
        <v>13000</v>
      </c>
      <c r="R36" s="47">
        <f>INDEX(MASTER!$AN$12:MASTER!$AW$22,MATCH('Manual Data'!$M36+OI,MASTER!$AW$12:MASTER!$AW$22,0),5)</f>
        <v>18250</v>
      </c>
      <c r="S36" s="47">
        <f>INDEX(MASTER!$AN$12:MASTER!$AW$22,MATCH('Manual Data'!$M36+OI,MASTER!$AW$12:MASTER!$AW$22,0),4)</f>
        <v>13000</v>
      </c>
      <c r="T36" s="47">
        <f aca="true" t="shared" si="32" ref="T36:AH36">IF(S36&lt;$R$11,S36+$O36,$R36)</f>
        <v>13350</v>
      </c>
      <c r="U36" s="47">
        <f t="shared" si="32"/>
        <v>13700</v>
      </c>
      <c r="V36" s="47">
        <f t="shared" si="32"/>
        <v>14050</v>
      </c>
      <c r="W36" s="47">
        <f t="shared" si="32"/>
        <v>14400</v>
      </c>
      <c r="X36" s="47">
        <f t="shared" si="32"/>
        <v>14750</v>
      </c>
      <c r="Y36" s="47">
        <f t="shared" si="32"/>
        <v>15100</v>
      </c>
      <c r="Z36" s="47">
        <f t="shared" si="32"/>
        <v>15450</v>
      </c>
      <c r="AA36" s="47">
        <f t="shared" si="32"/>
        <v>15800</v>
      </c>
      <c r="AB36" s="47">
        <f t="shared" si="32"/>
        <v>16150</v>
      </c>
      <c r="AC36" s="47">
        <f t="shared" si="32"/>
        <v>16500</v>
      </c>
      <c r="AD36" s="47">
        <f t="shared" si="32"/>
        <v>16850</v>
      </c>
      <c r="AE36" s="47">
        <f t="shared" si="32"/>
        <v>17200</v>
      </c>
      <c r="AF36" s="47">
        <f t="shared" si="32"/>
        <v>17550</v>
      </c>
      <c r="AG36" s="47">
        <f t="shared" si="32"/>
        <v>17900</v>
      </c>
      <c r="AH36" s="47">
        <f t="shared" si="32"/>
        <v>18250</v>
      </c>
    </row>
    <row r="37" spans="1:34" ht="12">
      <c r="A37" s="99" t="s">
        <v>14</v>
      </c>
      <c r="B37" s="100" t="s">
        <v>24</v>
      </c>
      <c r="C37" s="128"/>
      <c r="D37" s="147">
        <f>MIN(IF(K37&lt;&gt;0,S37,1),OBPH1)</f>
        <v>14500</v>
      </c>
      <c r="E37" s="147">
        <f t="shared" si="2"/>
        <v>41640</v>
      </c>
      <c r="F37" s="137">
        <v>0.01</v>
      </c>
      <c r="G37" s="138">
        <v>1</v>
      </c>
      <c r="H37" s="147">
        <f t="shared" si="3"/>
        <v>43960</v>
      </c>
      <c r="I37" s="101">
        <f t="shared" si="28"/>
        <v>0.01</v>
      </c>
      <c r="J37" s="102">
        <f t="shared" si="29"/>
        <v>1</v>
      </c>
      <c r="K37" s="123" t="str">
        <f>IF(C37=0,IF(L37=0,IF(OR(A37&amp;B37=MASTER!$I$7&amp;RIGHT(MASTER!$J$7,2),A37&amp;B37=MASTER!$I$8&amp;RIGHT(MASTER!$J$8,2),A37&amp;B37=MASTER!$M$8&amp;RIGHT(MASTER!$N$8,2)),"Y",0),"Y"),C37)</f>
        <v>Y</v>
      </c>
      <c r="L37" s="123" t="str">
        <f>IF(A37&amp;B37=MASTER!$I$7&amp;RIGHT(MASTER!$J$7,2),A37,IF(A37&amp;B37=MASTER!$I$8&amp;RIGHT(MASTER!$J$8,2),A37,IF(A37&amp;B37=MASTER!$M$8&amp;RIGHT(MASTER!$N$8,2),A37,0)))</f>
        <v>Mar</v>
      </c>
      <c r="M37" s="103">
        <f t="shared" si="4"/>
        <v>1</v>
      </c>
      <c r="N37" s="118" t="str">
        <f t="shared" si="6"/>
        <v>Mar</v>
      </c>
      <c r="O37" s="46">
        <f>INCN</f>
        <v>350</v>
      </c>
      <c r="P37" s="47">
        <f>BP</f>
        <v>14500</v>
      </c>
      <c r="R37" s="47">
        <f>INDEX(MASTER!$AN$12:MASTER!$AW$22,MATCH('Manual Data'!$M37+OI,MASTER!$AW$12:MASTER!$AW$22,0),5)</f>
        <v>18700</v>
      </c>
      <c r="S37" s="47">
        <f>INDEX(MASTER!$AN$12:MASTER!$AW$22,MATCH('Manual Data'!$M37+OI,MASTER!$AW$12:MASTER!$AW$22,0),4)</f>
        <v>14500</v>
      </c>
      <c r="T37" s="47">
        <f aca="true" t="shared" si="33" ref="T37:AH37">IF(S37&lt;$R$11,S37+$O37,$R37)</f>
        <v>14850</v>
      </c>
      <c r="U37" s="47">
        <f t="shared" si="33"/>
        <v>15200</v>
      </c>
      <c r="V37" s="47">
        <f t="shared" si="33"/>
        <v>15550</v>
      </c>
      <c r="W37" s="47">
        <f t="shared" si="33"/>
        <v>15900</v>
      </c>
      <c r="X37" s="47">
        <f t="shared" si="33"/>
        <v>16250</v>
      </c>
      <c r="Y37" s="47">
        <f t="shared" si="33"/>
        <v>16600</v>
      </c>
      <c r="Z37" s="47">
        <f t="shared" si="33"/>
        <v>16950</v>
      </c>
      <c r="AA37" s="47">
        <f t="shared" si="33"/>
        <v>17300</v>
      </c>
      <c r="AB37" s="47">
        <f t="shared" si="33"/>
        <v>17650</v>
      </c>
      <c r="AC37" s="47">
        <f t="shared" si="33"/>
        <v>18000</v>
      </c>
      <c r="AD37" s="47">
        <f t="shared" si="33"/>
        <v>18350</v>
      </c>
      <c r="AE37" s="47">
        <f t="shared" si="33"/>
        <v>18700</v>
      </c>
      <c r="AF37" s="47">
        <f t="shared" si="33"/>
        <v>18700</v>
      </c>
      <c r="AG37" s="47">
        <f t="shared" si="33"/>
        <v>18700</v>
      </c>
      <c r="AH37" s="47">
        <f t="shared" si="33"/>
        <v>18700</v>
      </c>
    </row>
    <row r="38" spans="1:15" ht="12">
      <c r="A38" s="104" t="s">
        <v>15</v>
      </c>
      <c r="B38" s="105" t="s">
        <v>24</v>
      </c>
      <c r="C38" s="129"/>
      <c r="D38" s="148">
        <f>MIN(IF(K38&lt;&gt;0,IF(MASTER!$A$38=MASTER!$E$5,MASTER!$AD$37+INC1*2,MASTER!$AD$37),1),OBPH1)</f>
        <v>1</v>
      </c>
      <c r="E38" s="148">
        <f t="shared" si="2"/>
        <v>1</v>
      </c>
      <c r="F38" s="139">
        <v>0.01</v>
      </c>
      <c r="G38" s="140">
        <v>1</v>
      </c>
      <c r="H38" s="148">
        <f t="shared" si="3"/>
        <v>1</v>
      </c>
      <c r="I38" s="106">
        <f t="shared" si="28"/>
        <v>0.01</v>
      </c>
      <c r="J38" s="107">
        <f t="shared" si="29"/>
        <v>1</v>
      </c>
      <c r="K38" s="124">
        <f>IF(C38=0,IF(L38=0,IF(OR(A38&amp;B38=MASTER!$I$7&amp;RIGHT(MASTER!$J$7,2),A38&amp;B38=MASTER!$I$8&amp;RIGHT(MASTER!$J$8,2),A38&amp;B38=MASTER!$M$8&amp;RIGHT(MASTER!$N$8,2)),"Y",0),"Y"),C38)</f>
        <v>0</v>
      </c>
      <c r="L38" s="124">
        <f>IF(A38&amp;B38=MASTER!$I$7&amp;RIGHT(MASTER!$J$7,2),A38,IF(A38&amp;B38=MASTER!$I$8&amp;RIGHT(MASTER!$J$8,2),A38,IF(A38&amp;B38=MASTER!$M$8&amp;RIGHT(MASTER!$N$8,2),A38,0)))</f>
        <v>0</v>
      </c>
      <c r="M38" s="108">
        <f t="shared" si="4"/>
        <v>1</v>
      </c>
      <c r="N38" s="118" t="str">
        <f t="shared" si="6"/>
        <v>Mar</v>
      </c>
      <c r="O38" s="46"/>
    </row>
    <row r="39" spans="1:15" ht="12">
      <c r="A39" s="91" t="s">
        <v>16</v>
      </c>
      <c r="B39" s="92" t="s">
        <v>24</v>
      </c>
      <c r="C39" s="127"/>
      <c r="D39" s="146">
        <f>MIN(IF(K39&lt;&gt;0,IF(MASTER!$A$38=MASTER!$E$5,MASTER!$AD$37+INC1*2,MASTER!$AD$37),1),OBPH1)</f>
        <v>1</v>
      </c>
      <c r="E39" s="146">
        <f t="shared" si="2"/>
        <v>1</v>
      </c>
      <c r="F39" s="135">
        <v>0.01</v>
      </c>
      <c r="G39" s="136">
        <v>1</v>
      </c>
      <c r="H39" s="146">
        <f t="shared" si="3"/>
        <v>1</v>
      </c>
      <c r="I39" s="97">
        <f t="shared" si="28"/>
        <v>0.01</v>
      </c>
      <c r="J39" s="98">
        <f t="shared" si="29"/>
        <v>1</v>
      </c>
      <c r="K39" s="122">
        <f>IF(C39=0,IF(L39=0,IF(OR(A39&amp;B39=MASTER!$I$7&amp;RIGHT(MASTER!$J$7,2),A39&amp;B39=MASTER!$I$8&amp;RIGHT(MASTER!$J$8,2),A39&amp;B39=MASTER!$M$8&amp;RIGHT(MASTER!$N$8,2)),"Y",0),"Y"),C39)</f>
        <v>0</v>
      </c>
      <c r="L39" s="122">
        <f>IF(A39&amp;B39=MASTER!$I$7&amp;RIGHT(MASTER!$J$7,2),A39,IF(A39&amp;B39=MASTER!$I$8&amp;RIGHT(MASTER!$J$8,2),A39,IF(A39&amp;B39=MASTER!$M$8&amp;RIGHT(MASTER!$N$8,2),A39,0)))</f>
        <v>0</v>
      </c>
      <c r="M39" s="95">
        <f t="shared" si="4"/>
        <v>1</v>
      </c>
      <c r="N39" s="118" t="str">
        <f t="shared" si="6"/>
        <v>Mar</v>
      </c>
      <c r="O39" s="46"/>
    </row>
    <row r="40" spans="1:15" ht="12">
      <c r="A40" s="91" t="s">
        <v>17</v>
      </c>
      <c r="B40" s="92" t="s">
        <v>24</v>
      </c>
      <c r="C40" s="127"/>
      <c r="D40" s="146">
        <f>MIN(IF(K40&lt;&gt;0,IF(MASTER!$A$38=MASTER!$E$5,MASTER!$AD$37+INC1*2,MASTER!$AD$37),1),OBPH1)</f>
        <v>1</v>
      </c>
      <c r="E40" s="146">
        <f t="shared" si="2"/>
        <v>1</v>
      </c>
      <c r="F40" s="135">
        <v>0.01</v>
      </c>
      <c r="G40" s="136">
        <v>1</v>
      </c>
      <c r="H40" s="146">
        <f t="shared" si="3"/>
        <v>1</v>
      </c>
      <c r="I40" s="97">
        <f t="shared" si="28"/>
        <v>0.01</v>
      </c>
      <c r="J40" s="98">
        <f t="shared" si="29"/>
        <v>1</v>
      </c>
      <c r="K40" s="122">
        <f>IF(C40=0,IF(L40=0,IF(OR(A40&amp;B40=MASTER!$I$7&amp;RIGHT(MASTER!$J$7,2),A40&amp;B40=MASTER!$I$8&amp;RIGHT(MASTER!$J$8,2),A40&amp;B40=MASTER!$M$8&amp;RIGHT(MASTER!$N$8,2)),"Y",0),"Y"),C40)</f>
        <v>0</v>
      </c>
      <c r="L40" s="122">
        <f>IF(A40&amp;B40=MASTER!$I$7&amp;RIGHT(MASTER!$J$7,2),A40,IF(A40&amp;B40=MASTER!$I$8&amp;RIGHT(MASTER!$J$8,2),A40,IF(A40&amp;B40=MASTER!$M$8&amp;RIGHT(MASTER!$N$8,2),A40,0)))</f>
        <v>0</v>
      </c>
      <c r="M40" s="95">
        <f t="shared" si="4"/>
        <v>1</v>
      </c>
      <c r="N40" s="118" t="str">
        <f t="shared" si="6"/>
        <v>Mar</v>
      </c>
      <c r="O40" s="46"/>
    </row>
    <row r="41" spans="1:15" ht="12">
      <c r="A41" s="91" t="s">
        <v>18</v>
      </c>
      <c r="B41" s="92" t="s">
        <v>24</v>
      </c>
      <c r="C41" s="127"/>
      <c r="D41" s="146">
        <f>MIN(IF(K41&lt;&gt;0,IF(MASTER!$A$38=MASTER!$E$5,MASTER!$AD$37+INC1*2,MASTER!$AD$37),1),OBPH1)</f>
        <v>1</v>
      </c>
      <c r="E41" s="146">
        <f t="shared" si="2"/>
        <v>1</v>
      </c>
      <c r="F41" s="135">
        <v>0.01</v>
      </c>
      <c r="G41" s="136">
        <v>1</v>
      </c>
      <c r="H41" s="146">
        <f t="shared" si="3"/>
        <v>1</v>
      </c>
      <c r="I41" s="97">
        <f t="shared" si="28"/>
        <v>0.01</v>
      </c>
      <c r="J41" s="98">
        <f t="shared" si="29"/>
        <v>1</v>
      </c>
      <c r="K41" s="122">
        <f>IF(C41=0,IF(L41=0,IF(OR(A41&amp;B41=MASTER!$I$7&amp;RIGHT(MASTER!$J$7,2),A41&amp;B41=MASTER!$I$8&amp;RIGHT(MASTER!$J$8,2),A41&amp;B41=MASTER!$M$8&amp;RIGHT(MASTER!$N$8,2)),"Y",0),"Y"),C41)</f>
        <v>0</v>
      </c>
      <c r="L41" s="122">
        <f>IF(A41&amp;B41=MASTER!$I$7&amp;RIGHT(MASTER!$J$7,2),A41,IF(A41&amp;B41=MASTER!$I$8&amp;RIGHT(MASTER!$J$8,2),A41,IF(A41&amp;B41=MASTER!$M$8&amp;RIGHT(MASTER!$N$8,2),A41,0)))</f>
        <v>0</v>
      </c>
      <c r="M41" s="95">
        <f t="shared" si="4"/>
        <v>1</v>
      </c>
      <c r="N41" s="118" t="str">
        <f t="shared" si="6"/>
        <v>Mar</v>
      </c>
      <c r="O41" s="46"/>
    </row>
    <row r="42" spans="1:15" ht="12">
      <c r="A42" s="91" t="s">
        <v>19</v>
      </c>
      <c r="B42" s="92" t="s">
        <v>24</v>
      </c>
      <c r="C42" s="127"/>
      <c r="D42" s="146">
        <f>MIN(IF(K42&lt;&gt;0,IF(MASTER!$A$38=MASTER!$E$5,MASTER!$AD$37+INC1*2,MASTER!$AD$37),1),OBPH1)</f>
        <v>1</v>
      </c>
      <c r="E42" s="146">
        <f t="shared" si="2"/>
        <v>1</v>
      </c>
      <c r="F42" s="135">
        <v>0.01</v>
      </c>
      <c r="G42" s="136">
        <v>1</v>
      </c>
      <c r="H42" s="146">
        <f t="shared" si="3"/>
        <v>1</v>
      </c>
      <c r="I42" s="97">
        <f t="shared" si="28"/>
        <v>0.01</v>
      </c>
      <c r="J42" s="98">
        <f t="shared" si="29"/>
        <v>1</v>
      </c>
      <c r="K42" s="122">
        <f>IF(C42=0,IF(L42=0,IF(OR(A42&amp;B42=MASTER!$I$7&amp;RIGHT(MASTER!$J$7,2),A42&amp;B42=MASTER!$I$8&amp;RIGHT(MASTER!$J$8,2),A42&amp;B42=MASTER!$M$8&amp;RIGHT(MASTER!$N$8,2)),"Y",0),"Y"),C42)</f>
        <v>0</v>
      </c>
      <c r="L42" s="122">
        <f>IF(A42&amp;B42=MASTER!$I$7&amp;RIGHT(MASTER!$J$7,2),A42,IF(A42&amp;B42=MASTER!$I$8&amp;RIGHT(MASTER!$J$8,2),A42,IF(A42&amp;B42=MASTER!$M$8&amp;RIGHT(MASTER!$N$8,2),A42,0)))</f>
        <v>0</v>
      </c>
      <c r="M42" s="95">
        <f t="shared" si="4"/>
        <v>1</v>
      </c>
      <c r="N42" s="118" t="str">
        <f t="shared" si="6"/>
        <v>Mar</v>
      </c>
      <c r="O42" s="46"/>
    </row>
    <row r="43" spans="1:15" ht="12">
      <c r="A43" s="91" t="s">
        <v>20</v>
      </c>
      <c r="B43" s="92" t="s">
        <v>24</v>
      </c>
      <c r="C43" s="127"/>
      <c r="D43" s="146">
        <f>MIN(IF(K43&lt;&gt;0,IF(MASTER!$A$38=MASTER!$E$5,MASTER!$AD$37+INC1*2,MASTER!$AD$37),1),OBPH1)</f>
        <v>1</v>
      </c>
      <c r="E43" s="146">
        <f t="shared" si="2"/>
        <v>1</v>
      </c>
      <c r="F43" s="135">
        <v>0.01</v>
      </c>
      <c r="G43" s="136">
        <v>1</v>
      </c>
      <c r="H43" s="146">
        <f t="shared" si="3"/>
        <v>1</v>
      </c>
      <c r="I43" s="97">
        <f t="shared" si="28"/>
        <v>0.01</v>
      </c>
      <c r="J43" s="98">
        <f t="shared" si="29"/>
        <v>1</v>
      </c>
      <c r="K43" s="122">
        <f>IF(C43=0,IF(L43=0,IF(OR(A43&amp;B43=MASTER!$I$7&amp;RIGHT(MASTER!$J$7,2),A43&amp;B43=MASTER!$I$8&amp;RIGHT(MASTER!$J$8,2),A43&amp;B43=MASTER!$M$8&amp;RIGHT(MASTER!$N$8,2)),"Y",0),"Y"),C43)</f>
        <v>0</v>
      </c>
      <c r="L43" s="122">
        <f>IF(A43&amp;B43=MASTER!$I$7&amp;RIGHT(MASTER!$J$7,2),A43,IF(A43&amp;B43=MASTER!$I$8&amp;RIGHT(MASTER!$J$8,2),A43,IF(A43&amp;B43=MASTER!$M$8&amp;RIGHT(MASTER!$N$8,2),A43,0)))</f>
        <v>0</v>
      </c>
      <c r="M43" s="95">
        <f t="shared" si="4"/>
        <v>1</v>
      </c>
      <c r="N43" s="118" t="str">
        <f t="shared" si="6"/>
        <v>Mar</v>
      </c>
      <c r="O43" s="46"/>
    </row>
    <row r="44" spans="1:15" ht="12">
      <c r="A44" s="91" t="s">
        <v>0</v>
      </c>
      <c r="B44" s="92" t="s">
        <v>24</v>
      </c>
      <c r="C44" s="127"/>
      <c r="D44" s="146">
        <f>MIN(IF(K44&lt;&gt;0,IF(MASTER!$A$38=MASTER!$E$5,MASTER!$AD$37+INC1*2,MASTER!$AD$37),1),OBPH1)</f>
        <v>1</v>
      </c>
      <c r="E44" s="146">
        <f aca="true" t="shared" si="34" ref="E44:E75">IF(K44=0,1,IF(K44="Y",IF(A44=N44,BPN12,BPN1),K44))</f>
        <v>1</v>
      </c>
      <c r="F44" s="135">
        <v>0.01</v>
      </c>
      <c r="G44" s="136">
        <v>1</v>
      </c>
      <c r="H44" s="146">
        <f aca="true" t="shared" si="35" ref="H44:H75">IF(K44=0,1,IF(K44="Y",IF(A44=N44,BPN22,BPN2),ROUNDUP(ROUND(E44*1.05595-0.01,0),-1)))</f>
        <v>1</v>
      </c>
      <c r="I44" s="97">
        <f t="shared" si="28"/>
        <v>0.01</v>
      </c>
      <c r="J44" s="98">
        <f t="shared" si="29"/>
        <v>1</v>
      </c>
      <c r="K44" s="122">
        <f>IF(C44=0,IF(L44=0,IF(OR(A44&amp;B44=MASTER!$I$7&amp;RIGHT(MASTER!$J$7,2),A44&amp;B44=MASTER!$I$8&amp;RIGHT(MASTER!$J$8,2),A44&amp;B44=MASTER!$M$8&amp;RIGHT(MASTER!$N$8,2)),"Y",0),"Y"),C44)</f>
        <v>0</v>
      </c>
      <c r="L44" s="122">
        <f>IF(A44&amp;B44=MASTER!$I$7&amp;RIGHT(MASTER!$J$7,2),A44,IF(A44&amp;B44=MASTER!$I$8&amp;RIGHT(MASTER!$J$8,2),A44,IF(A44&amp;B44=MASTER!$M$8&amp;RIGHT(MASTER!$N$8,2),A44,0)))</f>
        <v>0</v>
      </c>
      <c r="M44" s="95">
        <f aca="true" t="shared" si="36" ref="M44:M75">IF(K44=0,M43,M43+1)</f>
        <v>1</v>
      </c>
      <c r="N44" s="118" t="str">
        <f t="shared" si="6"/>
        <v>Mar</v>
      </c>
      <c r="O44" s="46"/>
    </row>
    <row r="45" spans="1:15" ht="12">
      <c r="A45" s="91" t="s">
        <v>10</v>
      </c>
      <c r="B45" s="92" t="s">
        <v>24</v>
      </c>
      <c r="C45" s="130"/>
      <c r="D45" s="148">
        <f>MIN(IF(K45&lt;&gt;0,IF(MASTER!$A$38=MASTER!$E$5,MASTER!$AD$37+INC1*2,MASTER!$AD$37),1),OBPH1)</f>
        <v>1</v>
      </c>
      <c r="E45" s="146">
        <f t="shared" si="34"/>
        <v>1</v>
      </c>
      <c r="F45" s="141">
        <v>0.01</v>
      </c>
      <c r="G45" s="140">
        <v>1</v>
      </c>
      <c r="H45" s="146">
        <f t="shared" si="35"/>
        <v>1</v>
      </c>
      <c r="I45" s="109">
        <f t="shared" si="28"/>
        <v>0.01</v>
      </c>
      <c r="J45" s="110">
        <f t="shared" si="29"/>
        <v>1</v>
      </c>
      <c r="K45" s="122">
        <f>IF(C45=0,IF(L45=0,IF(OR(A45&amp;B45=MASTER!$I$7&amp;RIGHT(MASTER!$J$7,2),A45&amp;B45=MASTER!$I$8&amp;RIGHT(MASTER!$J$8,2),A45&amp;B45=MASTER!$M$8&amp;RIGHT(MASTER!$N$8,2)),"Y",0),"Y"),C45)</f>
        <v>0</v>
      </c>
      <c r="L45" s="122">
        <f>IF(A45&amp;B45=MASTER!$I$7&amp;RIGHT(MASTER!$J$7,2),A45,IF(A45&amp;B45=MASTER!$I$8&amp;RIGHT(MASTER!$J$8,2),A45,IF(A45&amp;B45=MASTER!$M$8&amp;RIGHT(MASTER!$N$8,2),A45,0)))</f>
        <v>0</v>
      </c>
      <c r="M45" s="108">
        <f t="shared" si="36"/>
        <v>1</v>
      </c>
      <c r="N45" s="118" t="str">
        <f t="shared" si="6"/>
        <v>Mar</v>
      </c>
      <c r="O45" s="46"/>
    </row>
    <row r="46" spans="1:15" ht="12">
      <c r="A46" s="91" t="s">
        <v>11</v>
      </c>
      <c r="B46" s="92" t="s">
        <v>24</v>
      </c>
      <c r="C46" s="131"/>
      <c r="D46" s="146">
        <f>MIN(IF(K46&lt;&gt;0,IF(MASTER!$A$38=MASTER!$E$5,MASTER!$AD$37+INC1*2,MASTER!$AD$37),1),OBPH1)</f>
        <v>1</v>
      </c>
      <c r="E46" s="146">
        <f t="shared" si="34"/>
        <v>1</v>
      </c>
      <c r="F46" s="142">
        <v>0.01</v>
      </c>
      <c r="G46" s="136">
        <v>1</v>
      </c>
      <c r="H46" s="146">
        <f t="shared" si="35"/>
        <v>1</v>
      </c>
      <c r="I46" s="111">
        <f t="shared" si="28"/>
        <v>0.01</v>
      </c>
      <c r="J46" s="112">
        <f t="shared" si="29"/>
        <v>1</v>
      </c>
      <c r="K46" s="122">
        <f>IF(C46=0,IF(L46=0,IF(OR(A46&amp;B46=MASTER!$I$7&amp;RIGHT(MASTER!$J$7,2),A46&amp;B46=MASTER!$I$8&amp;RIGHT(MASTER!$J$8,2),A46&amp;B46=MASTER!$M$8&amp;RIGHT(MASTER!$N$8,2)),"Y",0),"Y"),C46)</f>
        <v>0</v>
      </c>
      <c r="L46" s="124">
        <f>IF(A46&amp;B46=MASTER!$I$7&amp;RIGHT(MASTER!$J$7,2),A46,IF(A46&amp;B46=MASTER!$I$8&amp;RIGHT(MASTER!$J$8,2),A46,IF(A46&amp;B46=MASTER!$M$8&amp;RIGHT(MASTER!$N$8,2),A46,0)))</f>
        <v>0</v>
      </c>
      <c r="M46" s="95">
        <f t="shared" si="36"/>
        <v>1</v>
      </c>
      <c r="N46" s="118" t="str">
        <f t="shared" si="6"/>
        <v>Mar</v>
      </c>
      <c r="O46" s="46"/>
    </row>
    <row r="47" spans="1:15" ht="12">
      <c r="A47" s="91" t="s">
        <v>12</v>
      </c>
      <c r="B47" s="92" t="s">
        <v>95</v>
      </c>
      <c r="C47" s="131"/>
      <c r="D47" s="146">
        <f>MIN(IF(K47&lt;&gt;0,IF(MASTER!$A$38=MASTER!$E$5,MASTER!$AD$37+INC1*2,MASTER!$AD$37),1),OBPH1)</f>
        <v>1</v>
      </c>
      <c r="E47" s="146">
        <f t="shared" si="34"/>
        <v>1</v>
      </c>
      <c r="F47" s="142">
        <v>0.01</v>
      </c>
      <c r="G47" s="136">
        <v>1</v>
      </c>
      <c r="H47" s="146">
        <f t="shared" si="35"/>
        <v>1</v>
      </c>
      <c r="I47" s="111">
        <f t="shared" si="28"/>
        <v>0.01</v>
      </c>
      <c r="J47" s="112">
        <f t="shared" si="29"/>
        <v>1</v>
      </c>
      <c r="K47" s="122">
        <f>IF(C47=0,IF(L47=0,IF(OR(A47&amp;B47=MASTER!$I$7&amp;RIGHT(MASTER!$J$7,2),A47&amp;B47=MASTER!$I$8&amp;RIGHT(MASTER!$J$8,2),A47&amp;B47=MASTER!$M$8&amp;RIGHT(MASTER!$N$8,2)),"Y",0),"Y"),C47)</f>
        <v>0</v>
      </c>
      <c r="L47" s="122">
        <f>IF(A47&amp;B47=MASTER!$I$7&amp;RIGHT(MASTER!$J$7,2),A47,IF(A47&amp;B47=MASTER!$I$8&amp;RIGHT(MASTER!$J$8,2),A47,IF(A47&amp;B47=MASTER!$M$8&amp;RIGHT(MASTER!$N$8,2),A47,0)))</f>
        <v>0</v>
      </c>
      <c r="M47" s="95">
        <f t="shared" si="36"/>
        <v>1</v>
      </c>
      <c r="N47" s="118" t="str">
        <f t="shared" si="6"/>
        <v>Mar</v>
      </c>
      <c r="O47" s="46"/>
    </row>
    <row r="48" spans="1:15" ht="12">
      <c r="A48" s="91" t="s">
        <v>13</v>
      </c>
      <c r="B48" s="92" t="s">
        <v>95</v>
      </c>
      <c r="C48" s="131"/>
      <c r="D48" s="146">
        <f>MIN(IF(K48&lt;&gt;0,IF(MASTER!$A$38=MASTER!$E$5,MASTER!$AD$37+INC1*2,MASTER!$AD$37),1),OBPH1)</f>
        <v>1</v>
      </c>
      <c r="E48" s="146">
        <f t="shared" si="34"/>
        <v>1</v>
      </c>
      <c r="F48" s="142">
        <v>0.01</v>
      </c>
      <c r="G48" s="136">
        <v>1</v>
      </c>
      <c r="H48" s="146">
        <f t="shared" si="35"/>
        <v>1</v>
      </c>
      <c r="I48" s="111">
        <f t="shared" si="28"/>
        <v>0.01</v>
      </c>
      <c r="J48" s="112">
        <f t="shared" si="29"/>
        <v>1</v>
      </c>
      <c r="K48" s="122">
        <f>IF(C48=0,IF(L48=0,IF(OR(A48&amp;B48=MASTER!$I$7&amp;RIGHT(MASTER!$J$7,2),A48&amp;B48=MASTER!$I$8&amp;RIGHT(MASTER!$J$8,2),A48&amp;B48=MASTER!$M$8&amp;RIGHT(MASTER!$N$8,2)),"Y",0),"Y"),C48)</f>
        <v>0</v>
      </c>
      <c r="L48" s="122">
        <f>IF(A48&amp;B48=MASTER!$I$7&amp;RIGHT(MASTER!$J$7,2),A48,IF(A48&amp;B48=MASTER!$I$8&amp;RIGHT(MASTER!$J$8,2),A48,IF(A48&amp;B48=MASTER!$M$8&amp;RIGHT(MASTER!$N$8,2),A48,0)))</f>
        <v>0</v>
      </c>
      <c r="M48" s="95">
        <f t="shared" si="36"/>
        <v>1</v>
      </c>
      <c r="N48" s="118" t="str">
        <f t="shared" si="6"/>
        <v>Mar</v>
      </c>
      <c r="O48" s="46"/>
    </row>
    <row r="49" spans="1:15" ht="12">
      <c r="A49" s="91" t="s">
        <v>14</v>
      </c>
      <c r="B49" s="92" t="s">
        <v>95</v>
      </c>
      <c r="C49" s="131"/>
      <c r="D49" s="146">
        <f>MIN(IF(K49&lt;&gt;0,IF(MASTER!$A$38=MASTER!$E$5,MASTER!$AD$37+INC1*2,MASTER!$AD$37),1),OBPH1)</f>
        <v>1</v>
      </c>
      <c r="E49" s="146">
        <f t="shared" si="34"/>
        <v>1</v>
      </c>
      <c r="F49" s="142">
        <v>0.01</v>
      </c>
      <c r="G49" s="136">
        <v>1</v>
      </c>
      <c r="H49" s="146">
        <f t="shared" si="35"/>
        <v>1</v>
      </c>
      <c r="I49" s="111">
        <f t="shared" si="28"/>
        <v>0.01</v>
      </c>
      <c r="J49" s="112">
        <f t="shared" si="29"/>
        <v>1</v>
      </c>
      <c r="K49" s="122">
        <f>IF(C49=0,IF(L49=0,IF(OR(A49&amp;B49=MASTER!$I$7&amp;RIGHT(MASTER!$J$7,2),A49&amp;B49=MASTER!$I$8&amp;RIGHT(MASTER!$J$8,2),A49&amp;B49=MASTER!$M$8&amp;RIGHT(MASTER!$N$8,2)),"Y",0),"Y"),C49)</f>
        <v>0</v>
      </c>
      <c r="L49" s="122">
        <f>IF(A49&amp;B49=MASTER!$I$7&amp;RIGHT(MASTER!$J$7,2),A49,IF(A49&amp;B49=MASTER!$I$8&amp;RIGHT(MASTER!$J$8,2),A49,IF(A49&amp;B49=MASTER!$M$8&amp;RIGHT(MASTER!$N$8,2),A49,0)))</f>
        <v>0</v>
      </c>
      <c r="M49" s="95">
        <f t="shared" si="36"/>
        <v>1</v>
      </c>
      <c r="N49" s="118" t="str">
        <f t="shared" si="6"/>
        <v>Mar</v>
      </c>
      <c r="O49" s="46"/>
    </row>
    <row r="50" spans="1:15" ht="12">
      <c r="A50" s="91" t="s">
        <v>15</v>
      </c>
      <c r="B50" s="92" t="s">
        <v>95</v>
      </c>
      <c r="C50" s="131"/>
      <c r="D50" s="146">
        <f>MIN(IF(K50&lt;&gt;0,IF(MASTER!$A$38=MASTER!$E$5,MASTER!$AD$37+INC1*2,MASTER!$AD$37),1),OBPH1)</f>
        <v>1</v>
      </c>
      <c r="E50" s="146">
        <f t="shared" si="34"/>
        <v>1</v>
      </c>
      <c r="F50" s="142">
        <v>0.01</v>
      </c>
      <c r="G50" s="136">
        <v>1</v>
      </c>
      <c r="H50" s="146">
        <f t="shared" si="35"/>
        <v>1</v>
      </c>
      <c r="I50" s="111">
        <f t="shared" si="28"/>
        <v>0.01</v>
      </c>
      <c r="J50" s="112">
        <f t="shared" si="29"/>
        <v>1</v>
      </c>
      <c r="K50" s="122">
        <f>IF(C50=0,IF(L50=0,IF(OR(A50&amp;B50=MASTER!$I$7&amp;RIGHT(MASTER!$J$7,2),A50&amp;B50=MASTER!$I$8&amp;RIGHT(MASTER!$J$8,2),A50&amp;B50=MASTER!$M$8&amp;RIGHT(MASTER!$N$8,2)),"Y",0),"Y"),C50)</f>
        <v>0</v>
      </c>
      <c r="L50" s="122">
        <f>IF(A50&amp;B50=MASTER!$I$7&amp;RIGHT(MASTER!$J$7,2),A50,IF(A50&amp;B50=MASTER!$I$8&amp;RIGHT(MASTER!$J$8,2),A50,IF(A50&amp;B50=MASTER!$M$8&amp;RIGHT(MASTER!$N$8,2),A50,0)))</f>
        <v>0</v>
      </c>
      <c r="M50" s="95">
        <f t="shared" si="36"/>
        <v>1</v>
      </c>
      <c r="N50" s="118" t="str">
        <f t="shared" si="6"/>
        <v>Mar</v>
      </c>
      <c r="O50" s="46"/>
    </row>
    <row r="51" spans="1:15" ht="12">
      <c r="A51" s="91" t="s">
        <v>16</v>
      </c>
      <c r="B51" s="92" t="s">
        <v>95</v>
      </c>
      <c r="C51" s="131"/>
      <c r="D51" s="146">
        <f>MIN(IF(K51&lt;&gt;0,IF(MASTER!$A$38=MASTER!$E$5,MASTER!$AD$37+INC1*2,MASTER!$AD$37),1),OBPH1)</f>
        <v>1</v>
      </c>
      <c r="E51" s="146">
        <f t="shared" si="34"/>
        <v>1</v>
      </c>
      <c r="F51" s="142">
        <v>0.01</v>
      </c>
      <c r="G51" s="136">
        <v>1</v>
      </c>
      <c r="H51" s="146">
        <f t="shared" si="35"/>
        <v>1</v>
      </c>
      <c r="I51" s="111">
        <f t="shared" si="28"/>
        <v>0.01</v>
      </c>
      <c r="J51" s="112">
        <f t="shared" si="29"/>
        <v>1</v>
      </c>
      <c r="K51" s="122">
        <f>IF(C51=0,IF(L51=0,IF(OR(A51&amp;B51=MASTER!$I$7&amp;RIGHT(MASTER!$J$7,2),A51&amp;B51=MASTER!$I$8&amp;RIGHT(MASTER!$J$8,2),A51&amp;B51=MASTER!$M$8&amp;RIGHT(MASTER!$N$8,2)),"Y",0),"Y"),C51)</f>
        <v>0</v>
      </c>
      <c r="L51" s="122">
        <f>IF(A51&amp;B51=MASTER!$I$7&amp;RIGHT(MASTER!$J$7,2),A51,IF(A51&amp;B51=MASTER!$I$8&amp;RIGHT(MASTER!$J$8,2),A51,IF(A51&amp;B51=MASTER!$M$8&amp;RIGHT(MASTER!$N$8,2),A51,0)))</f>
        <v>0</v>
      </c>
      <c r="M51" s="95">
        <f t="shared" si="36"/>
        <v>1</v>
      </c>
      <c r="N51" s="118" t="str">
        <f t="shared" si="6"/>
        <v>Mar</v>
      </c>
      <c r="O51" s="46"/>
    </row>
    <row r="52" spans="1:15" ht="12">
      <c r="A52" s="91" t="s">
        <v>17</v>
      </c>
      <c r="B52" s="92" t="s">
        <v>95</v>
      </c>
      <c r="C52" s="131"/>
      <c r="D52" s="146">
        <f>MIN(IF(K52&lt;&gt;0,IF(MASTER!$A$38=MASTER!$E$5,MASTER!$AD$37+INC1*2,MASTER!$AD$37),1),OBPH1)</f>
        <v>1</v>
      </c>
      <c r="E52" s="146">
        <f t="shared" si="34"/>
        <v>1</v>
      </c>
      <c r="F52" s="142">
        <v>0.01</v>
      </c>
      <c r="G52" s="136">
        <v>1</v>
      </c>
      <c r="H52" s="146">
        <f t="shared" si="35"/>
        <v>1</v>
      </c>
      <c r="I52" s="111">
        <f t="shared" si="28"/>
        <v>0.01</v>
      </c>
      <c r="J52" s="112">
        <f t="shared" si="29"/>
        <v>1</v>
      </c>
      <c r="K52" s="122">
        <f>IF(C52=0,IF(L52=0,IF(OR(A52&amp;B52=MASTER!$I$7&amp;RIGHT(MASTER!$J$7,2),A52&amp;B52=MASTER!$I$8&amp;RIGHT(MASTER!$J$8,2),A52&amp;B52=MASTER!$M$8&amp;RIGHT(MASTER!$N$8,2)),"Y",0),"Y"),C52)</f>
        <v>0</v>
      </c>
      <c r="L52" s="122">
        <f>IF(A52&amp;B52=MASTER!$I$7&amp;RIGHT(MASTER!$J$7,2),A52,IF(A52&amp;B52=MASTER!$I$8&amp;RIGHT(MASTER!$J$8,2),A52,IF(A52&amp;B52=MASTER!$M$8&amp;RIGHT(MASTER!$N$8,2),A52,0)))</f>
        <v>0</v>
      </c>
      <c r="M52" s="95">
        <f t="shared" si="36"/>
        <v>1</v>
      </c>
      <c r="N52" s="118" t="str">
        <f t="shared" si="6"/>
        <v>Mar</v>
      </c>
      <c r="O52" s="46"/>
    </row>
    <row r="53" spans="1:15" ht="12">
      <c r="A53" s="91" t="s">
        <v>18</v>
      </c>
      <c r="B53" s="92" t="s">
        <v>95</v>
      </c>
      <c r="C53" s="131"/>
      <c r="D53" s="146">
        <f>MIN(IF(K53&lt;&gt;0,IF(MASTER!$A$38=MASTER!$E$5,MASTER!$AD$37+INC1*2,MASTER!$AD$37),1),OBPH1)</f>
        <v>1</v>
      </c>
      <c r="E53" s="146">
        <f t="shared" si="34"/>
        <v>1</v>
      </c>
      <c r="F53" s="142">
        <v>0.01</v>
      </c>
      <c r="G53" s="136">
        <v>1</v>
      </c>
      <c r="H53" s="146">
        <f t="shared" si="35"/>
        <v>1</v>
      </c>
      <c r="I53" s="111">
        <f t="shared" si="28"/>
        <v>0.01</v>
      </c>
      <c r="J53" s="112">
        <f t="shared" si="29"/>
        <v>1</v>
      </c>
      <c r="K53" s="122">
        <f>IF(C53=0,IF(L53=0,IF(OR(A53&amp;B53=MASTER!$I$7&amp;RIGHT(MASTER!$J$7,2),A53&amp;B53=MASTER!$I$8&amp;RIGHT(MASTER!$J$8,2),A53&amp;B53=MASTER!$M$8&amp;RIGHT(MASTER!$N$8,2)),"Y",0),"Y"),C53)</f>
        <v>0</v>
      </c>
      <c r="L53" s="122">
        <f>IF(A53&amp;B53=MASTER!$I$7&amp;RIGHT(MASTER!$J$7,2),A53,IF(A53&amp;B53=MASTER!$I$8&amp;RIGHT(MASTER!$J$8,2),A53,IF(A53&amp;B53=MASTER!$M$8&amp;RIGHT(MASTER!$N$8,2),A53,0)))</f>
        <v>0</v>
      </c>
      <c r="M53" s="95">
        <f t="shared" si="36"/>
        <v>1</v>
      </c>
      <c r="N53" s="118" t="str">
        <f t="shared" si="6"/>
        <v>Mar</v>
      </c>
      <c r="O53" s="46"/>
    </row>
    <row r="54" spans="1:15" ht="12">
      <c r="A54" s="91" t="s">
        <v>19</v>
      </c>
      <c r="B54" s="92" t="s">
        <v>95</v>
      </c>
      <c r="C54" s="131"/>
      <c r="D54" s="146">
        <f>MIN(IF(K54&lt;&gt;0,IF(MASTER!$A$38=MASTER!$E$5,MASTER!$AD$37+INC1*2,MASTER!$AD$37),1),OBPH1)</f>
        <v>1</v>
      </c>
      <c r="E54" s="146">
        <f t="shared" si="34"/>
        <v>1</v>
      </c>
      <c r="F54" s="142">
        <v>0.01</v>
      </c>
      <c r="G54" s="136">
        <v>1</v>
      </c>
      <c r="H54" s="146">
        <f t="shared" si="35"/>
        <v>1</v>
      </c>
      <c r="I54" s="111">
        <f t="shared" si="28"/>
        <v>0.01</v>
      </c>
      <c r="J54" s="112">
        <f t="shared" si="29"/>
        <v>1</v>
      </c>
      <c r="K54" s="122">
        <f>IF(C54=0,IF(L54=0,IF(OR(A54&amp;B54=MASTER!$I$7&amp;RIGHT(MASTER!$J$7,2),A54&amp;B54=MASTER!$I$8&amp;RIGHT(MASTER!$J$8,2),A54&amp;B54=MASTER!$M$8&amp;RIGHT(MASTER!$N$8,2)),"Y",0),"Y"),C54)</f>
        <v>0</v>
      </c>
      <c r="L54" s="122">
        <f>IF(A54&amp;B54=MASTER!$I$7&amp;RIGHT(MASTER!$J$7,2),A54,IF(A54&amp;B54=MASTER!$I$8&amp;RIGHT(MASTER!$J$8,2),A54,IF(A54&amp;B54=MASTER!$M$8&amp;RIGHT(MASTER!$N$8,2),A54,0)))</f>
        <v>0</v>
      </c>
      <c r="M54" s="95">
        <f t="shared" si="36"/>
        <v>1</v>
      </c>
      <c r="N54" s="118" t="str">
        <f t="shared" si="6"/>
        <v>Mar</v>
      </c>
      <c r="O54" s="46"/>
    </row>
    <row r="55" spans="1:15" ht="12">
      <c r="A55" s="91" t="s">
        <v>20</v>
      </c>
      <c r="B55" s="92" t="s">
        <v>95</v>
      </c>
      <c r="C55" s="131"/>
      <c r="D55" s="146">
        <f>MIN(IF(K55&lt;&gt;0,IF(MASTER!$A$38=MASTER!$E$5,MASTER!$AD$37+INC1*2,MASTER!$AD$37),1),OBPH1)</f>
        <v>1</v>
      </c>
      <c r="E55" s="146">
        <f t="shared" si="34"/>
        <v>1</v>
      </c>
      <c r="F55" s="142">
        <v>0.01</v>
      </c>
      <c r="G55" s="136">
        <v>1</v>
      </c>
      <c r="H55" s="146">
        <f t="shared" si="35"/>
        <v>1</v>
      </c>
      <c r="I55" s="111">
        <f t="shared" si="28"/>
        <v>0.01</v>
      </c>
      <c r="J55" s="112">
        <f t="shared" si="29"/>
        <v>1</v>
      </c>
      <c r="K55" s="122">
        <f>IF(C55=0,IF(L55=0,IF(OR(A55&amp;B55=MASTER!$I$7&amp;RIGHT(MASTER!$J$7,2),A55&amp;B55=MASTER!$I$8&amp;RIGHT(MASTER!$J$8,2),A55&amp;B55=MASTER!$M$8&amp;RIGHT(MASTER!$N$8,2)),"Y",0),"Y"),C55)</f>
        <v>0</v>
      </c>
      <c r="L55" s="122">
        <f>IF(A55&amp;B55=MASTER!$I$7&amp;RIGHT(MASTER!$J$7,2),A55,IF(A55&amp;B55=MASTER!$I$8&amp;RIGHT(MASTER!$J$8,2),A55,IF(A55&amp;B55=MASTER!$M$8&amp;RIGHT(MASTER!$N$8,2),A55,0)))</f>
        <v>0</v>
      </c>
      <c r="M55" s="95">
        <f t="shared" si="36"/>
        <v>1</v>
      </c>
      <c r="N55" s="118" t="str">
        <f t="shared" si="6"/>
        <v>Mar</v>
      </c>
      <c r="O55" s="46"/>
    </row>
    <row r="56" spans="1:15" ht="12">
      <c r="A56" s="91" t="s">
        <v>0</v>
      </c>
      <c r="B56" s="92" t="s">
        <v>95</v>
      </c>
      <c r="C56" s="131"/>
      <c r="D56" s="146">
        <f>MIN(IF(K56&lt;&gt;0,IF(MASTER!$A$38=MASTER!$E$5,MASTER!$AD$37+INC1*2,MASTER!$AD$37),1),OBPH1)</f>
        <v>1</v>
      </c>
      <c r="E56" s="146">
        <f t="shared" si="34"/>
        <v>1</v>
      </c>
      <c r="F56" s="142">
        <v>0.01</v>
      </c>
      <c r="G56" s="136">
        <v>1</v>
      </c>
      <c r="H56" s="146">
        <f t="shared" si="35"/>
        <v>1</v>
      </c>
      <c r="I56" s="111">
        <f t="shared" si="28"/>
        <v>0.01</v>
      </c>
      <c r="J56" s="112">
        <f t="shared" si="29"/>
        <v>1</v>
      </c>
      <c r="K56" s="122">
        <f>IF(C56=0,IF(L56=0,IF(OR(A56&amp;B56=MASTER!$I$7&amp;RIGHT(MASTER!$J$7,2),A56&amp;B56=MASTER!$I$8&amp;RIGHT(MASTER!$J$8,2),A56&amp;B56=MASTER!$M$8&amp;RIGHT(MASTER!$N$8,2)),"Y",0),"Y"),C56)</f>
        <v>0</v>
      </c>
      <c r="L56" s="122">
        <f>IF(A56&amp;B56=MASTER!$I$7&amp;RIGHT(MASTER!$J$7,2),A56,IF(A56&amp;B56=MASTER!$I$8&amp;RIGHT(MASTER!$J$8,2),A56,IF(A56&amp;B56=MASTER!$M$8&amp;RIGHT(MASTER!$N$8,2),A56,0)))</f>
        <v>0</v>
      </c>
      <c r="M56" s="95">
        <f t="shared" si="36"/>
        <v>1</v>
      </c>
      <c r="N56" s="118" t="str">
        <f t="shared" si="6"/>
        <v>Mar</v>
      </c>
      <c r="O56" s="46"/>
    </row>
    <row r="57" spans="1:15" ht="12">
      <c r="A57" s="91" t="s">
        <v>10</v>
      </c>
      <c r="B57" s="92" t="s">
        <v>95</v>
      </c>
      <c r="C57" s="131"/>
      <c r="D57" s="146">
        <f>MIN(IF(K57&lt;&gt;0,IF(MASTER!$A$38=MASTER!$E$5,MASTER!$AD$37+INC1*2,MASTER!$AD$37),1),OBPH1)</f>
        <v>1</v>
      </c>
      <c r="E57" s="146">
        <f t="shared" si="34"/>
        <v>1</v>
      </c>
      <c r="F57" s="142">
        <v>0.01</v>
      </c>
      <c r="G57" s="136">
        <v>1</v>
      </c>
      <c r="H57" s="146">
        <f t="shared" si="35"/>
        <v>1</v>
      </c>
      <c r="I57" s="111">
        <f t="shared" si="28"/>
        <v>0.01</v>
      </c>
      <c r="J57" s="112">
        <f t="shared" si="29"/>
        <v>1</v>
      </c>
      <c r="K57" s="122">
        <f>IF(C57=0,IF(L57=0,IF(OR(A57&amp;B57=MASTER!$I$7&amp;RIGHT(MASTER!$J$7,2),A57&amp;B57=MASTER!$I$8&amp;RIGHT(MASTER!$J$8,2),A57&amp;B57=MASTER!$M$8&amp;RIGHT(MASTER!$N$8,2)),"Y",0),"Y"),C57)</f>
        <v>0</v>
      </c>
      <c r="L57" s="122">
        <f>IF(A57&amp;B57=MASTER!$I$7&amp;RIGHT(MASTER!$J$7,2),A57,IF(A57&amp;B57=MASTER!$I$8&amp;RIGHT(MASTER!$J$8,2),A57,IF(A57&amp;B57=MASTER!$M$8&amp;RIGHT(MASTER!$N$8,2),A57,0)))</f>
        <v>0</v>
      </c>
      <c r="M57" s="95">
        <f t="shared" si="36"/>
        <v>1</v>
      </c>
      <c r="N57" s="118" t="str">
        <f t="shared" si="6"/>
        <v>Mar</v>
      </c>
      <c r="O57" s="46"/>
    </row>
    <row r="58" spans="1:15" ht="12">
      <c r="A58" s="91" t="s">
        <v>11</v>
      </c>
      <c r="B58" s="92" t="s">
        <v>95</v>
      </c>
      <c r="C58" s="131"/>
      <c r="D58" s="146">
        <f>MIN(IF(K58&lt;&gt;0,IF(MASTER!$A$38=MASTER!$E$5,MASTER!$AD$37+INC1*2,MASTER!$AD$37),1),OBPH1)</f>
        <v>1</v>
      </c>
      <c r="E58" s="146">
        <f t="shared" si="34"/>
        <v>1</v>
      </c>
      <c r="F58" s="142">
        <v>0.01</v>
      </c>
      <c r="G58" s="136">
        <v>1</v>
      </c>
      <c r="H58" s="146">
        <f t="shared" si="35"/>
        <v>1</v>
      </c>
      <c r="I58" s="111">
        <f t="shared" si="28"/>
        <v>0.01</v>
      </c>
      <c r="J58" s="112">
        <f t="shared" si="29"/>
        <v>1</v>
      </c>
      <c r="K58" s="122">
        <f>IF(C58=0,IF(L58=0,IF(OR(A58&amp;B58=MASTER!$I$7&amp;RIGHT(MASTER!$J$7,2),A58&amp;B58=MASTER!$I$8&amp;RIGHT(MASTER!$J$8,2),A58&amp;B58=MASTER!$M$8&amp;RIGHT(MASTER!$N$8,2)),"Y",0),"Y"),C58)</f>
        <v>0</v>
      </c>
      <c r="L58" s="122">
        <f>IF(A58&amp;B58=MASTER!$I$7&amp;RIGHT(MASTER!$J$7,2),A58,IF(A58&amp;B58=MASTER!$I$8&amp;RIGHT(MASTER!$J$8,2),A58,IF(A58&amp;B58=MASTER!$M$8&amp;RIGHT(MASTER!$N$8,2),A58,0)))</f>
        <v>0</v>
      </c>
      <c r="M58" s="95">
        <f t="shared" si="36"/>
        <v>1</v>
      </c>
      <c r="N58" s="118" t="str">
        <f t="shared" si="6"/>
        <v>Mar</v>
      </c>
      <c r="O58" s="46"/>
    </row>
    <row r="59" spans="1:15" ht="12">
      <c r="A59" s="91" t="s">
        <v>12</v>
      </c>
      <c r="B59" s="92" t="s">
        <v>96</v>
      </c>
      <c r="C59" s="131"/>
      <c r="D59" s="146">
        <f>MIN(IF(K59&lt;&gt;0,IF(MASTER!$A$38=MASTER!$E$5,MASTER!$AD$37+INC1*2,MASTER!$AD$37),1),OBPH1)</f>
        <v>1</v>
      </c>
      <c r="E59" s="146">
        <f t="shared" si="34"/>
        <v>1</v>
      </c>
      <c r="F59" s="142">
        <v>0.01</v>
      </c>
      <c r="G59" s="136">
        <v>1</v>
      </c>
      <c r="H59" s="146">
        <f t="shared" si="35"/>
        <v>1</v>
      </c>
      <c r="I59" s="111">
        <f t="shared" si="28"/>
        <v>0.01</v>
      </c>
      <c r="J59" s="112">
        <f t="shared" si="29"/>
        <v>1</v>
      </c>
      <c r="K59" s="122">
        <f>IF(C59=0,IF(L59=0,IF(OR(A59&amp;B59=MASTER!$I$7&amp;RIGHT(MASTER!$J$7,2),A59&amp;B59=MASTER!$I$8&amp;RIGHT(MASTER!$J$8,2),A59&amp;B59=MASTER!$M$8&amp;RIGHT(MASTER!$N$8,2)),"Y",0),"Y"),C59)</f>
        <v>0</v>
      </c>
      <c r="L59" s="122">
        <f>IF(A59&amp;B59=MASTER!$I$7&amp;RIGHT(MASTER!$J$7,2),A59,IF(A59&amp;B59=MASTER!$I$8&amp;RIGHT(MASTER!$J$8,2),A59,IF(A59&amp;B59=MASTER!$M$8&amp;RIGHT(MASTER!$N$8,2),A59,0)))</f>
        <v>0</v>
      </c>
      <c r="M59" s="95">
        <f t="shared" si="36"/>
        <v>1</v>
      </c>
      <c r="N59" s="118" t="str">
        <f t="shared" si="6"/>
        <v>Mar</v>
      </c>
      <c r="O59" s="46"/>
    </row>
    <row r="60" spans="1:15" ht="12">
      <c r="A60" s="91" t="s">
        <v>13</v>
      </c>
      <c r="B60" s="92" t="s">
        <v>96</v>
      </c>
      <c r="C60" s="131"/>
      <c r="D60" s="146">
        <f>MIN(IF(K60&lt;&gt;0,IF(MASTER!$A$38=MASTER!$E$5,MASTER!$AD$37+INC1*2,MASTER!$AD$37),1),OBPH1)</f>
        <v>1</v>
      </c>
      <c r="E60" s="146">
        <f t="shared" si="34"/>
        <v>1</v>
      </c>
      <c r="F60" s="142">
        <v>0.01</v>
      </c>
      <c r="G60" s="136">
        <v>1</v>
      </c>
      <c r="H60" s="146">
        <f t="shared" si="35"/>
        <v>1</v>
      </c>
      <c r="I60" s="111">
        <f t="shared" si="28"/>
        <v>0.01</v>
      </c>
      <c r="J60" s="112">
        <f t="shared" si="29"/>
        <v>1</v>
      </c>
      <c r="K60" s="122">
        <f>IF(C60=0,IF(L60=0,IF(OR(A60&amp;B60=MASTER!$I$7&amp;RIGHT(MASTER!$J$7,2),A60&amp;B60=MASTER!$I$8&amp;RIGHT(MASTER!$J$8,2),A60&amp;B60=MASTER!$M$8&amp;RIGHT(MASTER!$N$8,2)),"Y",0),"Y"),C60)</f>
        <v>0</v>
      </c>
      <c r="L60" s="122">
        <f>IF(A60&amp;B60=MASTER!$I$7&amp;RIGHT(MASTER!$J$7,2),A60,IF(A60&amp;B60=MASTER!$I$8&amp;RIGHT(MASTER!$J$8,2),A60,IF(A60&amp;B60=MASTER!$M$8&amp;RIGHT(MASTER!$N$8,2),A60,0)))</f>
        <v>0</v>
      </c>
      <c r="M60" s="95">
        <f t="shared" si="36"/>
        <v>1</v>
      </c>
      <c r="N60" s="118" t="str">
        <f t="shared" si="6"/>
        <v>Mar</v>
      </c>
      <c r="O60" s="46"/>
    </row>
    <row r="61" spans="1:15" ht="12">
      <c r="A61" s="91" t="s">
        <v>14</v>
      </c>
      <c r="B61" s="92" t="s">
        <v>96</v>
      </c>
      <c r="C61" s="131"/>
      <c r="D61" s="146">
        <f>MIN(IF(K61&lt;&gt;0,IF(MASTER!$A$38=MASTER!$E$5,MASTER!$AD$37+INC1*2,MASTER!$AD$37),1),OBPH1)</f>
        <v>1</v>
      </c>
      <c r="E61" s="146">
        <f t="shared" si="34"/>
        <v>1</v>
      </c>
      <c r="F61" s="142">
        <v>0.01</v>
      </c>
      <c r="G61" s="136">
        <v>1</v>
      </c>
      <c r="H61" s="146">
        <f t="shared" si="35"/>
        <v>1</v>
      </c>
      <c r="I61" s="111">
        <f t="shared" si="28"/>
        <v>0.01</v>
      </c>
      <c r="J61" s="112">
        <f t="shared" si="29"/>
        <v>1</v>
      </c>
      <c r="K61" s="122">
        <f>IF(C61=0,IF(L61=0,IF(OR(A61&amp;B61=MASTER!$I$7&amp;RIGHT(MASTER!$J$7,2),A61&amp;B61=MASTER!$I$8&amp;RIGHT(MASTER!$J$8,2),A61&amp;B61=MASTER!$M$8&amp;RIGHT(MASTER!$N$8,2)),"Y",0),"Y"),C61)</f>
        <v>0</v>
      </c>
      <c r="L61" s="122">
        <f>IF(A61&amp;B61=MASTER!$I$7&amp;RIGHT(MASTER!$J$7,2),A61,IF(A61&amp;B61=MASTER!$I$8&amp;RIGHT(MASTER!$J$8,2),A61,IF(A61&amp;B61=MASTER!$M$8&amp;RIGHT(MASTER!$N$8,2),A61,0)))</f>
        <v>0</v>
      </c>
      <c r="M61" s="95">
        <f t="shared" si="36"/>
        <v>1</v>
      </c>
      <c r="N61" s="118" t="str">
        <f t="shared" si="6"/>
        <v>Mar</v>
      </c>
      <c r="O61" s="46"/>
    </row>
    <row r="62" spans="1:15" ht="12">
      <c r="A62" s="91" t="s">
        <v>15</v>
      </c>
      <c r="B62" s="92" t="s">
        <v>96</v>
      </c>
      <c r="C62" s="131"/>
      <c r="D62" s="146">
        <f>MIN(IF(K62&lt;&gt;0,IF(MASTER!$A$38=MASTER!$E$5,MASTER!$AD$37+INC1*2,MASTER!$AD$37),1),OBPH1)</f>
        <v>1</v>
      </c>
      <c r="E62" s="146">
        <f t="shared" si="34"/>
        <v>1</v>
      </c>
      <c r="F62" s="142">
        <v>0.01</v>
      </c>
      <c r="G62" s="136">
        <v>1</v>
      </c>
      <c r="H62" s="146">
        <f t="shared" si="35"/>
        <v>1</v>
      </c>
      <c r="I62" s="111">
        <f t="shared" si="28"/>
        <v>0.01</v>
      </c>
      <c r="J62" s="112">
        <f t="shared" si="29"/>
        <v>1</v>
      </c>
      <c r="K62" s="122">
        <f>IF(C62=0,IF(L62=0,IF(OR(A62&amp;B62=MASTER!$I$7&amp;RIGHT(MASTER!$J$7,2),A62&amp;B62=MASTER!$I$8&amp;RIGHT(MASTER!$J$8,2),A62&amp;B62=MASTER!$M$8&amp;RIGHT(MASTER!$N$8,2)),"Y",0),"Y"),C62)</f>
        <v>0</v>
      </c>
      <c r="L62" s="122">
        <f>IF(A62&amp;B62=MASTER!$I$7&amp;RIGHT(MASTER!$J$7,2),A62,IF(A62&amp;B62=MASTER!$I$8&amp;RIGHT(MASTER!$J$8,2),A62,IF(A62&amp;B62=MASTER!$M$8&amp;RIGHT(MASTER!$N$8,2),A62,0)))</f>
        <v>0</v>
      </c>
      <c r="M62" s="95">
        <f t="shared" si="36"/>
        <v>1</v>
      </c>
      <c r="N62" s="118" t="str">
        <f t="shared" si="6"/>
        <v>Mar</v>
      </c>
      <c r="O62" s="46"/>
    </row>
    <row r="63" spans="1:15" ht="12">
      <c r="A63" s="91" t="s">
        <v>16</v>
      </c>
      <c r="B63" s="92" t="s">
        <v>96</v>
      </c>
      <c r="C63" s="131"/>
      <c r="D63" s="146">
        <f>MIN(IF(K63&lt;&gt;0,IF(MASTER!$A$38=MASTER!$E$5,MASTER!$AD$37+INC1*2,MASTER!$AD$37),1),OBPH1)</f>
        <v>1</v>
      </c>
      <c r="E63" s="146">
        <f t="shared" si="34"/>
        <v>1</v>
      </c>
      <c r="F63" s="142">
        <v>0.01</v>
      </c>
      <c r="G63" s="136">
        <v>1</v>
      </c>
      <c r="H63" s="146">
        <f t="shared" si="35"/>
        <v>1</v>
      </c>
      <c r="I63" s="111">
        <f t="shared" si="28"/>
        <v>0.01</v>
      </c>
      <c r="J63" s="112">
        <f t="shared" si="29"/>
        <v>1</v>
      </c>
      <c r="K63" s="122">
        <f>IF(C63=0,IF(L63=0,IF(OR(A63&amp;B63=MASTER!$I$7&amp;RIGHT(MASTER!$J$7,2),A63&amp;B63=MASTER!$I$8&amp;RIGHT(MASTER!$J$8,2),A63&amp;B63=MASTER!$M$8&amp;RIGHT(MASTER!$N$8,2)),"Y",0),"Y"),C63)</f>
        <v>0</v>
      </c>
      <c r="L63" s="122">
        <f>IF(A63&amp;B63=MASTER!$I$7&amp;RIGHT(MASTER!$J$7,2),A63,IF(A63&amp;B63=MASTER!$I$8&amp;RIGHT(MASTER!$J$8,2),A63,IF(A63&amp;B63=MASTER!$M$8&amp;RIGHT(MASTER!$N$8,2),A63,0)))</f>
        <v>0</v>
      </c>
      <c r="M63" s="95">
        <f t="shared" si="36"/>
        <v>1</v>
      </c>
      <c r="N63" s="118" t="str">
        <f t="shared" si="6"/>
        <v>Mar</v>
      </c>
      <c r="O63" s="46"/>
    </row>
    <row r="64" spans="1:15" ht="12">
      <c r="A64" s="91" t="s">
        <v>17</v>
      </c>
      <c r="B64" s="92" t="s">
        <v>96</v>
      </c>
      <c r="C64" s="131"/>
      <c r="D64" s="146">
        <f>MIN(IF(K64&lt;&gt;0,IF(MASTER!$A$38=MASTER!$E$5,MASTER!$AD$37+INC1*2,MASTER!$AD$37),1),OBPH1)</f>
        <v>1</v>
      </c>
      <c r="E64" s="146">
        <f t="shared" si="34"/>
        <v>1</v>
      </c>
      <c r="F64" s="142">
        <v>0.01</v>
      </c>
      <c r="G64" s="136">
        <v>1</v>
      </c>
      <c r="H64" s="146">
        <f t="shared" si="35"/>
        <v>1</v>
      </c>
      <c r="I64" s="111">
        <f t="shared" si="28"/>
        <v>0.01</v>
      </c>
      <c r="J64" s="112">
        <f t="shared" si="29"/>
        <v>1</v>
      </c>
      <c r="K64" s="122">
        <f>IF(C64=0,IF(L64=0,IF(OR(A64&amp;B64=MASTER!$I$7&amp;RIGHT(MASTER!$J$7,2),A64&amp;B64=MASTER!$I$8&amp;RIGHT(MASTER!$J$8,2),A64&amp;B64=MASTER!$M$8&amp;RIGHT(MASTER!$N$8,2)),"Y",0),"Y"),C64)</f>
        <v>0</v>
      </c>
      <c r="L64" s="122">
        <f>IF(A64&amp;B64=MASTER!$I$7&amp;RIGHT(MASTER!$J$7,2),A64,IF(A64&amp;B64=MASTER!$I$8&amp;RIGHT(MASTER!$J$8,2),A64,IF(A64&amp;B64=MASTER!$M$8&amp;RIGHT(MASTER!$N$8,2),A64,0)))</f>
        <v>0</v>
      </c>
      <c r="M64" s="95">
        <f t="shared" si="36"/>
        <v>1</v>
      </c>
      <c r="N64" s="118" t="str">
        <f t="shared" si="6"/>
        <v>Mar</v>
      </c>
      <c r="O64" s="46"/>
    </row>
    <row r="65" spans="1:15" ht="12">
      <c r="A65" s="91" t="s">
        <v>18</v>
      </c>
      <c r="B65" s="92" t="s">
        <v>96</v>
      </c>
      <c r="C65" s="131"/>
      <c r="D65" s="146">
        <f>MIN(IF(K65&lt;&gt;0,IF(MASTER!$A$38=MASTER!$E$5,MASTER!$AD$37+INC1*2,MASTER!$AD$37),1),OBPH1)</f>
        <v>1</v>
      </c>
      <c r="E65" s="146">
        <f t="shared" si="34"/>
        <v>1</v>
      </c>
      <c r="F65" s="142">
        <v>0.01</v>
      </c>
      <c r="G65" s="136">
        <v>1</v>
      </c>
      <c r="H65" s="146">
        <f t="shared" si="35"/>
        <v>1</v>
      </c>
      <c r="I65" s="111">
        <f t="shared" si="28"/>
        <v>0.01</v>
      </c>
      <c r="J65" s="112">
        <f t="shared" si="29"/>
        <v>1</v>
      </c>
      <c r="K65" s="122">
        <f>IF(C65=0,IF(L65=0,IF(OR(A65&amp;B65=MASTER!$I$7&amp;RIGHT(MASTER!$J$7,2),A65&amp;B65=MASTER!$I$8&amp;RIGHT(MASTER!$J$8,2),A65&amp;B65=MASTER!$M$8&amp;RIGHT(MASTER!$N$8,2)),"Y",0),"Y"),C65)</f>
        <v>0</v>
      </c>
      <c r="L65" s="122">
        <f>IF(A65&amp;B65=MASTER!$I$7&amp;RIGHT(MASTER!$J$7,2),A65,IF(A65&amp;B65=MASTER!$I$8&amp;RIGHT(MASTER!$J$8,2),A65,IF(A65&amp;B65=MASTER!$M$8&amp;RIGHT(MASTER!$N$8,2),A65,0)))</f>
        <v>0</v>
      </c>
      <c r="M65" s="95">
        <f t="shared" si="36"/>
        <v>1</v>
      </c>
      <c r="N65" s="118" t="str">
        <f t="shared" si="6"/>
        <v>Mar</v>
      </c>
      <c r="O65" s="46"/>
    </row>
    <row r="66" spans="1:15" ht="12">
      <c r="A66" s="91" t="s">
        <v>19</v>
      </c>
      <c r="B66" s="92" t="s">
        <v>96</v>
      </c>
      <c r="C66" s="131"/>
      <c r="D66" s="146">
        <f>MIN(IF(K66&lt;&gt;0,IF(MASTER!$A$38=MASTER!$E$5,MASTER!$AD$37+INC1*2,MASTER!$AD$37),1),OBPH1)</f>
        <v>1</v>
      </c>
      <c r="E66" s="146">
        <f t="shared" si="34"/>
        <v>1</v>
      </c>
      <c r="F66" s="142">
        <v>0.01</v>
      </c>
      <c r="G66" s="136">
        <v>1</v>
      </c>
      <c r="H66" s="146">
        <f t="shared" si="35"/>
        <v>1</v>
      </c>
      <c r="I66" s="111">
        <f aca="true" t="shared" si="37" ref="I66:I88">F66</f>
        <v>0.01</v>
      </c>
      <c r="J66" s="112">
        <f aca="true" t="shared" si="38" ref="J66:J88">G66</f>
        <v>1</v>
      </c>
      <c r="K66" s="122">
        <f>IF(C66=0,IF(L66=0,IF(OR(A66&amp;B66=MASTER!$I$7&amp;RIGHT(MASTER!$J$7,2),A66&amp;B66=MASTER!$I$8&amp;RIGHT(MASTER!$J$8,2),A66&amp;B66=MASTER!$M$8&amp;RIGHT(MASTER!$N$8,2)),"Y",0),"Y"),C66)</f>
        <v>0</v>
      </c>
      <c r="L66" s="122">
        <f>IF(A66&amp;B66=MASTER!$I$7&amp;RIGHT(MASTER!$J$7,2),A66,IF(A66&amp;B66=MASTER!$I$8&amp;RIGHT(MASTER!$J$8,2),A66,IF(A66&amp;B66=MASTER!$M$8&amp;RIGHT(MASTER!$N$8,2),A66,0)))</f>
        <v>0</v>
      </c>
      <c r="M66" s="95">
        <f t="shared" si="36"/>
        <v>1</v>
      </c>
      <c r="N66" s="118" t="str">
        <f t="shared" si="6"/>
        <v>Mar</v>
      </c>
      <c r="O66" s="46"/>
    </row>
    <row r="67" spans="1:15" ht="12">
      <c r="A67" s="91" t="s">
        <v>20</v>
      </c>
      <c r="B67" s="92" t="s">
        <v>96</v>
      </c>
      <c r="C67" s="131"/>
      <c r="D67" s="146">
        <f>MIN(IF(K67&lt;&gt;0,IF(MASTER!$A$38=MASTER!$E$5,MASTER!$AD$37+INC1*2,MASTER!$AD$37),1),OBPH1)</f>
        <v>1</v>
      </c>
      <c r="E67" s="146">
        <f t="shared" si="34"/>
        <v>1</v>
      </c>
      <c r="F67" s="142">
        <v>0.01</v>
      </c>
      <c r="G67" s="136">
        <v>1</v>
      </c>
      <c r="H67" s="146">
        <f t="shared" si="35"/>
        <v>1</v>
      </c>
      <c r="I67" s="111">
        <f t="shared" si="37"/>
        <v>0.01</v>
      </c>
      <c r="J67" s="112">
        <f t="shared" si="38"/>
        <v>1</v>
      </c>
      <c r="K67" s="122">
        <f>IF(C67=0,IF(L67=0,IF(OR(A67&amp;B67=MASTER!$I$7&amp;RIGHT(MASTER!$J$7,2),A67&amp;B67=MASTER!$I$8&amp;RIGHT(MASTER!$J$8,2),A67&amp;B67=MASTER!$M$8&amp;RIGHT(MASTER!$N$8,2)),"Y",0),"Y"),C67)</f>
        <v>0</v>
      </c>
      <c r="L67" s="122">
        <f>IF(A67&amp;B67=MASTER!$I$7&amp;RIGHT(MASTER!$J$7,2),A67,IF(A67&amp;B67=MASTER!$I$8&amp;RIGHT(MASTER!$J$8,2),A67,IF(A67&amp;B67=MASTER!$M$8&amp;RIGHT(MASTER!$N$8,2),A67,0)))</f>
        <v>0</v>
      </c>
      <c r="M67" s="95">
        <f t="shared" si="36"/>
        <v>1</v>
      </c>
      <c r="N67" s="118" t="str">
        <f t="shared" si="6"/>
        <v>Mar</v>
      </c>
      <c r="O67" s="46"/>
    </row>
    <row r="68" spans="1:15" ht="12">
      <c r="A68" s="91" t="s">
        <v>0</v>
      </c>
      <c r="B68" s="92" t="s">
        <v>96</v>
      </c>
      <c r="C68" s="131"/>
      <c r="D68" s="146">
        <f>MIN(IF(K68&lt;&gt;0,IF(MASTER!$A$38=MASTER!$E$5,MASTER!$AD$37+INC1*2,MASTER!$AD$37),1),OBPH1)</f>
        <v>18250</v>
      </c>
      <c r="E68" s="146">
        <f t="shared" si="34"/>
        <v>45510</v>
      </c>
      <c r="F68" s="142">
        <v>0.01</v>
      </c>
      <c r="G68" s="136">
        <v>1</v>
      </c>
      <c r="H68" s="146">
        <f t="shared" si="35"/>
        <v>48040</v>
      </c>
      <c r="I68" s="111">
        <f t="shared" si="37"/>
        <v>0.01</v>
      </c>
      <c r="J68" s="112">
        <f t="shared" si="38"/>
        <v>1</v>
      </c>
      <c r="K68" s="122" t="str">
        <f>IF(C68=0,IF(L68=0,IF(OR(A68&amp;B68=MASTER!$I$7&amp;RIGHT(MASTER!$J$7,2),A68&amp;B68=MASTER!$I$8&amp;RIGHT(MASTER!$J$8,2),A68&amp;B68=MASTER!$M$8&amp;RIGHT(MASTER!$N$8,2)),"Y",0),"Y"),C68)</f>
        <v>Y</v>
      </c>
      <c r="L68" s="122" t="str">
        <f>IF(A68&amp;B68=MASTER!$I$7&amp;RIGHT(MASTER!$J$7,2),A68,IF(A68&amp;B68=MASTER!$I$8&amp;RIGHT(MASTER!$J$8,2),A68,IF(A68&amp;B68=MASTER!$M$8&amp;RIGHT(MASTER!$N$8,2),A68,0)))</f>
        <v>Oct</v>
      </c>
      <c r="M68" s="95">
        <f t="shared" si="36"/>
        <v>2</v>
      </c>
      <c r="N68" s="118" t="str">
        <f t="shared" si="6"/>
        <v>Mar</v>
      </c>
      <c r="O68" s="46"/>
    </row>
    <row r="69" spans="1:15" ht="12">
      <c r="A69" s="91" t="s">
        <v>10</v>
      </c>
      <c r="B69" s="92" t="s">
        <v>96</v>
      </c>
      <c r="C69" s="131"/>
      <c r="D69" s="146">
        <f>MIN(IF(K69&lt;&gt;0,IF(MASTER!$A$38=MASTER!$E$5,MASTER!$AD$37+INC1*2,MASTER!$AD$37),1),OBPH1)</f>
        <v>1</v>
      </c>
      <c r="E69" s="146">
        <f t="shared" si="34"/>
        <v>1</v>
      </c>
      <c r="F69" s="142">
        <v>0.01</v>
      </c>
      <c r="G69" s="136">
        <v>1</v>
      </c>
      <c r="H69" s="146">
        <f t="shared" si="35"/>
        <v>1</v>
      </c>
      <c r="I69" s="111">
        <f t="shared" si="37"/>
        <v>0.01</v>
      </c>
      <c r="J69" s="112">
        <f t="shared" si="38"/>
        <v>1</v>
      </c>
      <c r="K69" s="122">
        <f>IF(C69=0,IF(L69=0,IF(OR(A69&amp;B69=MASTER!$I$7&amp;RIGHT(MASTER!$J$7,2),A69&amp;B69=MASTER!$I$8&amp;RIGHT(MASTER!$J$8,2),A69&amp;B69=MASTER!$M$8&amp;RIGHT(MASTER!$N$8,2)),"Y",0),"Y"),C69)</f>
        <v>0</v>
      </c>
      <c r="L69" s="122">
        <f>IF(A69&amp;B69=MASTER!$I$7&amp;RIGHT(MASTER!$J$7,2),A69,IF(A69&amp;B69=MASTER!$I$8&amp;RIGHT(MASTER!$J$8,2),A69,IF(A69&amp;B69=MASTER!$M$8&amp;RIGHT(MASTER!$N$8,2),A69,0)))</f>
        <v>0</v>
      </c>
      <c r="M69" s="95">
        <f t="shared" si="36"/>
        <v>2</v>
      </c>
      <c r="N69" s="118" t="str">
        <f t="shared" si="6"/>
        <v>Oct</v>
      </c>
      <c r="O69" s="46"/>
    </row>
    <row r="70" spans="1:15" ht="12">
      <c r="A70" s="91" t="s">
        <v>11</v>
      </c>
      <c r="B70" s="92" t="s">
        <v>96</v>
      </c>
      <c r="C70" s="131"/>
      <c r="D70" s="146">
        <f>MIN(IF(K70&lt;&gt;0,IF(MASTER!$A$38=MASTER!$E$5,MASTER!$AD$37+INC1*2,MASTER!$AD$37),1),OBPH1)</f>
        <v>1</v>
      </c>
      <c r="E70" s="146">
        <f t="shared" si="34"/>
        <v>1</v>
      </c>
      <c r="F70" s="142">
        <v>0.01</v>
      </c>
      <c r="G70" s="136">
        <v>1</v>
      </c>
      <c r="H70" s="146">
        <f t="shared" si="35"/>
        <v>1</v>
      </c>
      <c r="I70" s="111">
        <f t="shared" si="37"/>
        <v>0.01</v>
      </c>
      <c r="J70" s="112">
        <f t="shared" si="38"/>
        <v>1</v>
      </c>
      <c r="K70" s="122">
        <f>IF(C70=0,IF(L70=0,IF(OR(A70&amp;B70=MASTER!$I$7&amp;RIGHT(MASTER!$J$7,2),A70&amp;B70=MASTER!$I$8&amp;RIGHT(MASTER!$J$8,2),A70&amp;B70=MASTER!$M$8&amp;RIGHT(MASTER!$N$8,2)),"Y",0),"Y"),C70)</f>
        <v>0</v>
      </c>
      <c r="L70" s="122">
        <f>IF(A70&amp;B70=MASTER!$I$7&amp;RIGHT(MASTER!$J$7,2),A70,IF(A70&amp;B70=MASTER!$I$8&amp;RIGHT(MASTER!$J$8,2),A70,IF(A70&amp;B70=MASTER!$M$8&amp;RIGHT(MASTER!$N$8,2),A70,0)))</f>
        <v>0</v>
      </c>
      <c r="M70" s="95">
        <f t="shared" si="36"/>
        <v>2</v>
      </c>
      <c r="N70" s="118" t="str">
        <f t="shared" si="6"/>
        <v>Oct</v>
      </c>
      <c r="O70" s="46"/>
    </row>
    <row r="71" spans="1:15" ht="12">
      <c r="A71" s="91" t="s">
        <v>12</v>
      </c>
      <c r="B71" s="92" t="s">
        <v>97</v>
      </c>
      <c r="C71" s="131"/>
      <c r="D71" s="146">
        <f>MIN(IF(K71&lt;&gt;0,IF(MASTER!$A$38=MASTER!$E$5,MASTER!$AD$37+INC1*2,MASTER!$AD$37),1),OBPH1)</f>
        <v>1</v>
      </c>
      <c r="E71" s="146">
        <f t="shared" si="34"/>
        <v>1</v>
      </c>
      <c r="F71" s="142">
        <v>0.01</v>
      </c>
      <c r="G71" s="136">
        <v>1</v>
      </c>
      <c r="H71" s="146">
        <f t="shared" si="35"/>
        <v>1</v>
      </c>
      <c r="I71" s="111">
        <f t="shared" si="37"/>
        <v>0.01</v>
      </c>
      <c r="J71" s="112">
        <f t="shared" si="38"/>
        <v>1</v>
      </c>
      <c r="K71" s="122">
        <f>IF(C71=0,IF(L71=0,IF(OR(A71&amp;B71=MASTER!$I$7&amp;RIGHT(MASTER!$J$7,2),A71&amp;B71=MASTER!$I$8&amp;RIGHT(MASTER!$J$8,2),A71&amp;B71=MASTER!$M$8&amp;RIGHT(MASTER!$N$8,2)),"Y",0),"Y"),C71)</f>
        <v>0</v>
      </c>
      <c r="L71" s="122">
        <f>IF(A71&amp;B71=MASTER!$I$7&amp;RIGHT(MASTER!$J$7,2),A71,IF(A71&amp;B71=MASTER!$I$8&amp;RIGHT(MASTER!$J$8,2),A71,IF(A71&amp;B71=MASTER!$M$8&amp;RIGHT(MASTER!$N$8,2),A71,0)))</f>
        <v>0</v>
      </c>
      <c r="M71" s="95">
        <f t="shared" si="36"/>
        <v>2</v>
      </c>
      <c r="N71" s="118" t="str">
        <f t="shared" si="6"/>
        <v>Oct</v>
      </c>
      <c r="O71" s="46"/>
    </row>
    <row r="72" spans="1:15" ht="12">
      <c r="A72" s="91" t="s">
        <v>13</v>
      </c>
      <c r="B72" s="92" t="s">
        <v>97</v>
      </c>
      <c r="C72" s="131"/>
      <c r="D72" s="146">
        <f>MIN(IF(K72&lt;&gt;0,IF(MASTER!$A$38=MASTER!$E$5,MASTER!$AD$37+INC1*2,MASTER!$AD$37),1),OBPH1)</f>
        <v>1</v>
      </c>
      <c r="E72" s="146">
        <f t="shared" si="34"/>
        <v>1</v>
      </c>
      <c r="F72" s="142">
        <v>0.01</v>
      </c>
      <c r="G72" s="136">
        <v>1</v>
      </c>
      <c r="H72" s="146">
        <f t="shared" si="35"/>
        <v>1</v>
      </c>
      <c r="I72" s="111">
        <f t="shared" si="37"/>
        <v>0.01</v>
      </c>
      <c r="J72" s="112">
        <f t="shared" si="38"/>
        <v>1</v>
      </c>
      <c r="K72" s="122">
        <f>IF(C72=0,IF(L72=0,IF(OR(A72&amp;B72=MASTER!$I$7&amp;RIGHT(MASTER!$J$7,2),A72&amp;B72=MASTER!$I$8&amp;RIGHT(MASTER!$J$8,2),A72&amp;B72=MASTER!$M$8&amp;RIGHT(MASTER!$N$8,2)),"Y",0),"Y"),C72)</f>
        <v>0</v>
      </c>
      <c r="L72" s="122">
        <f>IF(A72&amp;B72=MASTER!$I$7&amp;RIGHT(MASTER!$J$7,2),A72,IF(A72&amp;B72=MASTER!$I$8&amp;RIGHT(MASTER!$J$8,2),A72,IF(A72&amp;B72=MASTER!$M$8&amp;RIGHT(MASTER!$N$8,2),A72,0)))</f>
        <v>0</v>
      </c>
      <c r="M72" s="95">
        <f t="shared" si="36"/>
        <v>2</v>
      </c>
      <c r="N72" s="118" t="str">
        <f t="shared" si="6"/>
        <v>Oct</v>
      </c>
      <c r="O72" s="46"/>
    </row>
    <row r="73" spans="1:15" ht="12">
      <c r="A73" s="91" t="s">
        <v>14</v>
      </c>
      <c r="B73" s="92" t="s">
        <v>97</v>
      </c>
      <c r="C73" s="131"/>
      <c r="D73" s="146">
        <f>MIN(IF(K73&lt;&gt;0,IF(MASTER!$A$38=MASTER!$E$5,MASTER!$AD$37+INC1*2,MASTER!$AD$37),1),OBPH1)</f>
        <v>1</v>
      </c>
      <c r="E73" s="146">
        <f t="shared" si="34"/>
        <v>1</v>
      </c>
      <c r="F73" s="142">
        <v>0.01</v>
      </c>
      <c r="G73" s="136">
        <v>1</v>
      </c>
      <c r="H73" s="146">
        <f t="shared" si="35"/>
        <v>1</v>
      </c>
      <c r="I73" s="111">
        <f t="shared" si="37"/>
        <v>0.01</v>
      </c>
      <c r="J73" s="112">
        <f t="shared" si="38"/>
        <v>1</v>
      </c>
      <c r="K73" s="122">
        <f>IF(C73=0,IF(L73=0,IF(OR(A73&amp;B73=MASTER!$I$7&amp;RIGHT(MASTER!$J$7,2),A73&amp;B73=MASTER!$I$8&amp;RIGHT(MASTER!$J$8,2),A73&amp;B73=MASTER!$M$8&amp;RIGHT(MASTER!$N$8,2)),"Y",0),"Y"),C73)</f>
        <v>0</v>
      </c>
      <c r="L73" s="122">
        <f>IF(A73&amp;B73=MASTER!$I$7&amp;RIGHT(MASTER!$J$7,2),A73,IF(A73&amp;B73=MASTER!$I$8&amp;RIGHT(MASTER!$J$8,2),A73,IF(A73&amp;B73=MASTER!$M$8&amp;RIGHT(MASTER!$N$8,2),A73,0)))</f>
        <v>0</v>
      </c>
      <c r="M73" s="95">
        <f t="shared" si="36"/>
        <v>2</v>
      </c>
      <c r="N73" s="118" t="str">
        <f t="shared" si="6"/>
        <v>Oct</v>
      </c>
      <c r="O73" s="46"/>
    </row>
    <row r="74" spans="1:15" ht="12">
      <c r="A74" s="91" t="s">
        <v>15</v>
      </c>
      <c r="B74" s="92" t="s">
        <v>97</v>
      </c>
      <c r="C74" s="131"/>
      <c r="D74" s="146">
        <f>MIN(IF(K74&lt;&gt;0,IF(MASTER!$A$38=MASTER!$E$5,MASTER!$AD$37+INC1*2,MASTER!$AD$37),1),OBPH1)</f>
        <v>1</v>
      </c>
      <c r="E74" s="146">
        <f t="shared" si="34"/>
        <v>1</v>
      </c>
      <c r="F74" s="142">
        <v>0.01</v>
      </c>
      <c r="G74" s="136">
        <v>1</v>
      </c>
      <c r="H74" s="146">
        <f t="shared" si="35"/>
        <v>1</v>
      </c>
      <c r="I74" s="111">
        <f t="shared" si="37"/>
        <v>0.01</v>
      </c>
      <c r="J74" s="112">
        <f t="shared" si="38"/>
        <v>1</v>
      </c>
      <c r="K74" s="122">
        <f>IF(C74=0,IF(L74=0,IF(OR(A74&amp;B74=MASTER!$I$7&amp;RIGHT(MASTER!$J$7,2),A74&amp;B74=MASTER!$I$8&amp;RIGHT(MASTER!$J$8,2),A74&amp;B74=MASTER!$M$8&amp;RIGHT(MASTER!$N$8,2)),"Y",0),"Y"),C74)</f>
        <v>0</v>
      </c>
      <c r="L74" s="122">
        <f>IF(A74&amp;B74=MASTER!$I$7&amp;RIGHT(MASTER!$J$7,2),A74,IF(A74&amp;B74=MASTER!$I$8&amp;RIGHT(MASTER!$J$8,2),A74,IF(A74&amp;B74=MASTER!$M$8&amp;RIGHT(MASTER!$N$8,2),A74,0)))</f>
        <v>0</v>
      </c>
      <c r="M74" s="95">
        <f t="shared" si="36"/>
        <v>2</v>
      </c>
      <c r="N74" s="118" t="str">
        <f t="shared" si="6"/>
        <v>Oct</v>
      </c>
      <c r="O74" s="46"/>
    </row>
    <row r="75" spans="1:15" ht="12">
      <c r="A75" s="91" t="s">
        <v>16</v>
      </c>
      <c r="B75" s="92" t="s">
        <v>97</v>
      </c>
      <c r="C75" s="131"/>
      <c r="D75" s="146">
        <f>MIN(IF(K75&lt;&gt;0,IF(MASTER!$A$38=MASTER!$E$5,MASTER!$AD$37+INC1*2,MASTER!$AD$37),1),OBPH1)</f>
        <v>1</v>
      </c>
      <c r="E75" s="146">
        <f t="shared" si="34"/>
        <v>1</v>
      </c>
      <c r="F75" s="142">
        <v>0.01</v>
      </c>
      <c r="G75" s="136">
        <v>1</v>
      </c>
      <c r="H75" s="146">
        <f t="shared" si="35"/>
        <v>1</v>
      </c>
      <c r="I75" s="111">
        <f t="shared" si="37"/>
        <v>0.01</v>
      </c>
      <c r="J75" s="112">
        <f t="shared" si="38"/>
        <v>1</v>
      </c>
      <c r="K75" s="122">
        <f>IF(C75=0,IF(L75=0,IF(OR(A75&amp;B75=MASTER!$I$7&amp;RIGHT(MASTER!$J$7,2),A75&amp;B75=MASTER!$I$8&amp;RIGHT(MASTER!$J$8,2),A75&amp;B75=MASTER!$M$8&amp;RIGHT(MASTER!$N$8,2)),"Y",0),"Y"),C75)</f>
        <v>0</v>
      </c>
      <c r="L75" s="122">
        <f>IF(A75&amp;B75=MASTER!$I$7&amp;RIGHT(MASTER!$J$7,2),A75,IF(A75&amp;B75=MASTER!$I$8&amp;RIGHT(MASTER!$J$8,2),A75,IF(A75&amp;B75=MASTER!$M$8&amp;RIGHT(MASTER!$N$8,2),A75,0)))</f>
        <v>0</v>
      </c>
      <c r="M75" s="95">
        <f t="shared" si="36"/>
        <v>2</v>
      </c>
      <c r="N75" s="118" t="str">
        <f t="shared" si="6"/>
        <v>Oct</v>
      </c>
      <c r="O75" s="46"/>
    </row>
    <row r="76" spans="1:15" ht="12">
      <c r="A76" s="91" t="s">
        <v>17</v>
      </c>
      <c r="B76" s="92" t="s">
        <v>97</v>
      </c>
      <c r="C76" s="131"/>
      <c r="D76" s="146">
        <f>MIN(IF(K76&lt;&gt;0,IF(MASTER!$A$38=MASTER!$E$5,MASTER!$AD$37+INC1*2,MASTER!$AD$37),1),OBPH1)</f>
        <v>1</v>
      </c>
      <c r="E76" s="146">
        <f aca="true" t="shared" si="39" ref="E76:E88">IF(K76=0,1,IF(K76="Y",IF(A76=N76,BPN12,BPN1),K76))</f>
        <v>1</v>
      </c>
      <c r="F76" s="142">
        <v>0.01</v>
      </c>
      <c r="G76" s="136">
        <v>1</v>
      </c>
      <c r="H76" s="146">
        <f aca="true" t="shared" si="40" ref="H76:H88">IF(K76=0,1,IF(K76="Y",IF(A76=N76,BPN22,BPN2),ROUNDUP(ROUND(E76*1.05595-0.01,0),-1)))</f>
        <v>1</v>
      </c>
      <c r="I76" s="111">
        <f t="shared" si="37"/>
        <v>0.01</v>
      </c>
      <c r="J76" s="112">
        <f t="shared" si="38"/>
        <v>1</v>
      </c>
      <c r="K76" s="122">
        <f>IF(C76=0,IF(L76=0,IF(OR(A76&amp;B76=MASTER!$I$7&amp;RIGHT(MASTER!$J$7,2),A76&amp;B76=MASTER!$I$8&amp;RIGHT(MASTER!$J$8,2),A76&amp;B76=MASTER!$M$8&amp;RIGHT(MASTER!$N$8,2)),"Y",0),"Y"),C76)</f>
        <v>0</v>
      </c>
      <c r="L76" s="122">
        <f>IF(A76&amp;B76=MASTER!$I$7&amp;RIGHT(MASTER!$J$7,2),A76,IF(A76&amp;B76=MASTER!$I$8&amp;RIGHT(MASTER!$J$8,2),A76,IF(A76&amp;B76=MASTER!$M$8&amp;RIGHT(MASTER!$N$8,2),A76,0)))</f>
        <v>0</v>
      </c>
      <c r="M76" s="95">
        <f aca="true" t="shared" si="41" ref="M76:M88">IF(K76=0,M75,M75+1)</f>
        <v>2</v>
      </c>
      <c r="N76" s="118" t="str">
        <f t="shared" si="6"/>
        <v>Oct</v>
      </c>
      <c r="O76" s="46"/>
    </row>
    <row r="77" spans="1:15" ht="12">
      <c r="A77" s="91" t="s">
        <v>18</v>
      </c>
      <c r="B77" s="92" t="s">
        <v>97</v>
      </c>
      <c r="C77" s="131"/>
      <c r="D77" s="146">
        <f>MIN(IF(K77&lt;&gt;0,IF(MASTER!$A$38=MASTER!$E$5,MASTER!$AD$37+INC1*2,MASTER!$AD$37),1),OBPH1)</f>
        <v>1</v>
      </c>
      <c r="E77" s="146">
        <f t="shared" si="39"/>
        <v>1</v>
      </c>
      <c r="F77" s="142">
        <v>0.01</v>
      </c>
      <c r="G77" s="136">
        <v>1</v>
      </c>
      <c r="H77" s="146">
        <f t="shared" si="40"/>
        <v>1</v>
      </c>
      <c r="I77" s="111">
        <f t="shared" si="37"/>
        <v>0.01</v>
      </c>
      <c r="J77" s="112">
        <f t="shared" si="38"/>
        <v>1</v>
      </c>
      <c r="K77" s="122">
        <f>IF(C77=0,IF(L77=0,IF(OR(A77&amp;B77=MASTER!$I$7&amp;RIGHT(MASTER!$J$7,2),A77&amp;B77=MASTER!$I$8&amp;RIGHT(MASTER!$J$8,2),A77&amp;B77=MASTER!$M$8&amp;RIGHT(MASTER!$N$8,2)),"Y",0),"Y"),C77)</f>
        <v>0</v>
      </c>
      <c r="L77" s="122">
        <f>IF(A77&amp;B77=MASTER!$I$7&amp;RIGHT(MASTER!$J$7,2),A77,IF(A77&amp;B77=MASTER!$I$8&amp;RIGHT(MASTER!$J$8,2),A77,IF(A77&amp;B77=MASTER!$M$8&amp;RIGHT(MASTER!$N$8,2),A77,0)))</f>
        <v>0</v>
      </c>
      <c r="M77" s="95">
        <f t="shared" si="41"/>
        <v>2</v>
      </c>
      <c r="N77" s="118" t="str">
        <f aca="true" t="shared" si="42" ref="N77:N88">IF(L76=0,N76,PROPER(LEFT(L76,3)))</f>
        <v>Oct</v>
      </c>
      <c r="O77" s="46"/>
    </row>
    <row r="78" spans="1:15" ht="12">
      <c r="A78" s="91" t="s">
        <v>19</v>
      </c>
      <c r="B78" s="92" t="s">
        <v>97</v>
      </c>
      <c r="C78" s="131"/>
      <c r="D78" s="146">
        <f>MIN(IF(K78&lt;&gt;0,IF(MASTER!$A$38=MASTER!$E$5,MASTER!$AD$37+INC1*2,MASTER!$AD$37),1),OBPH1)</f>
        <v>1</v>
      </c>
      <c r="E78" s="146">
        <f t="shared" si="39"/>
        <v>1</v>
      </c>
      <c r="F78" s="142">
        <v>0.01</v>
      </c>
      <c r="G78" s="136">
        <v>1</v>
      </c>
      <c r="H78" s="146">
        <f t="shared" si="40"/>
        <v>1</v>
      </c>
      <c r="I78" s="111">
        <f t="shared" si="37"/>
        <v>0.01</v>
      </c>
      <c r="J78" s="112">
        <f t="shared" si="38"/>
        <v>1</v>
      </c>
      <c r="K78" s="122">
        <f>IF(C78=0,IF(L78=0,IF(OR(A78&amp;B78=MASTER!$I$7&amp;RIGHT(MASTER!$J$7,2),A78&amp;B78=MASTER!$I$8&amp;RIGHT(MASTER!$J$8,2),A78&amp;B78=MASTER!$M$8&amp;RIGHT(MASTER!$N$8,2)),"Y",0),"Y"),C78)</f>
        <v>0</v>
      </c>
      <c r="L78" s="122">
        <f>IF(A78&amp;B78=MASTER!$I$7&amp;RIGHT(MASTER!$J$7,2),A78,IF(A78&amp;B78=MASTER!$I$8&amp;RIGHT(MASTER!$J$8,2),A78,IF(A78&amp;B78=MASTER!$M$8&amp;RIGHT(MASTER!$N$8,2),A78,0)))</f>
        <v>0</v>
      </c>
      <c r="M78" s="95">
        <f t="shared" si="41"/>
        <v>2</v>
      </c>
      <c r="N78" s="118" t="str">
        <f t="shared" si="42"/>
        <v>Oct</v>
      </c>
      <c r="O78" s="46"/>
    </row>
    <row r="79" spans="1:15" ht="12">
      <c r="A79" s="91" t="s">
        <v>20</v>
      </c>
      <c r="B79" s="92" t="s">
        <v>97</v>
      </c>
      <c r="C79" s="131"/>
      <c r="D79" s="146">
        <f>MIN(IF(K79&lt;&gt;0,IF(MASTER!$A$38=MASTER!$E$5,MASTER!$AD$37+INC1*2,MASTER!$AD$37),1),OBPH1)</f>
        <v>1</v>
      </c>
      <c r="E79" s="146">
        <f t="shared" si="39"/>
        <v>1</v>
      </c>
      <c r="F79" s="142">
        <v>0.01</v>
      </c>
      <c r="G79" s="136">
        <v>1</v>
      </c>
      <c r="H79" s="146">
        <f t="shared" si="40"/>
        <v>1</v>
      </c>
      <c r="I79" s="111">
        <f t="shared" si="37"/>
        <v>0.01</v>
      </c>
      <c r="J79" s="112">
        <f t="shared" si="38"/>
        <v>1</v>
      </c>
      <c r="K79" s="122">
        <f>IF(C79=0,IF(L79=0,IF(OR(A79&amp;B79=MASTER!$I$7&amp;RIGHT(MASTER!$J$7,2),A79&amp;B79=MASTER!$I$8&amp;RIGHT(MASTER!$J$8,2),A79&amp;B79=MASTER!$M$8&amp;RIGHT(MASTER!$N$8,2)),"Y",0),"Y"),C79)</f>
        <v>0</v>
      </c>
      <c r="L79" s="122">
        <f>IF(A79&amp;B79=MASTER!$I$7&amp;RIGHT(MASTER!$J$7,2),A79,IF(A79&amp;B79=MASTER!$I$8&amp;RIGHT(MASTER!$J$8,2),A79,IF(A79&amp;B79=MASTER!$M$8&amp;RIGHT(MASTER!$N$8,2),A79,0)))</f>
        <v>0</v>
      </c>
      <c r="M79" s="95">
        <f t="shared" si="41"/>
        <v>2</v>
      </c>
      <c r="N79" s="118" t="str">
        <f t="shared" si="42"/>
        <v>Oct</v>
      </c>
      <c r="O79" s="46"/>
    </row>
    <row r="80" spans="1:15" ht="12">
      <c r="A80" s="91" t="s">
        <v>0</v>
      </c>
      <c r="B80" s="92" t="s">
        <v>97</v>
      </c>
      <c r="C80" s="131"/>
      <c r="D80" s="146">
        <f>MIN(IF(K80&lt;&gt;0,IF(MASTER!$A$38=MASTER!$E$5,MASTER!$AD$37+INC1*2,MASTER!$AD$37),1),OBPH1)</f>
        <v>1</v>
      </c>
      <c r="E80" s="146">
        <f t="shared" si="39"/>
        <v>1</v>
      </c>
      <c r="F80" s="142">
        <v>0.01</v>
      </c>
      <c r="G80" s="136">
        <v>1</v>
      </c>
      <c r="H80" s="146">
        <f t="shared" si="40"/>
        <v>1</v>
      </c>
      <c r="I80" s="111">
        <f t="shared" si="37"/>
        <v>0.01</v>
      </c>
      <c r="J80" s="112">
        <f t="shared" si="38"/>
        <v>1</v>
      </c>
      <c r="K80" s="122">
        <f>IF(C80=0,IF(L80=0,IF(OR(A80&amp;B80=MASTER!$I$7&amp;RIGHT(MASTER!$J$7,2),A80&amp;B80=MASTER!$I$8&amp;RIGHT(MASTER!$J$8,2),A80&amp;B80=MASTER!$M$8&amp;RIGHT(MASTER!$N$8,2)),"Y",0),"Y"),C80)</f>
        <v>0</v>
      </c>
      <c r="L80" s="122">
        <f>IF(A80&amp;B80=MASTER!$I$7&amp;RIGHT(MASTER!$J$7,2),A80,IF(A80&amp;B80=MASTER!$I$8&amp;RIGHT(MASTER!$J$8,2),A80,IF(A80&amp;B80=MASTER!$M$8&amp;RIGHT(MASTER!$N$8,2),A80,0)))</f>
        <v>0</v>
      </c>
      <c r="M80" s="95">
        <f t="shared" si="41"/>
        <v>2</v>
      </c>
      <c r="N80" s="118" t="str">
        <f t="shared" si="42"/>
        <v>Oct</v>
      </c>
      <c r="O80" s="46"/>
    </row>
    <row r="81" spans="1:15" ht="12">
      <c r="A81" s="91" t="s">
        <v>10</v>
      </c>
      <c r="B81" s="92" t="s">
        <v>97</v>
      </c>
      <c r="C81" s="131"/>
      <c r="D81" s="146">
        <f>MIN(IF(K81&lt;&gt;0,IF(MASTER!$A$38=MASTER!$E$5,MASTER!$AD$37+INC1*2,MASTER!$AD$37),1),OBPH1)</f>
        <v>1</v>
      </c>
      <c r="E81" s="146">
        <f t="shared" si="39"/>
        <v>1</v>
      </c>
      <c r="F81" s="142">
        <v>0.01</v>
      </c>
      <c r="G81" s="136">
        <v>1</v>
      </c>
      <c r="H81" s="146">
        <f t="shared" si="40"/>
        <v>1</v>
      </c>
      <c r="I81" s="111">
        <f t="shared" si="37"/>
        <v>0.01</v>
      </c>
      <c r="J81" s="112">
        <f t="shared" si="38"/>
        <v>1</v>
      </c>
      <c r="K81" s="122">
        <f>IF(C81=0,IF(L81=0,IF(OR(A81&amp;B81=MASTER!$I$7&amp;RIGHT(MASTER!$J$7,2),A81&amp;B81=MASTER!$I$8&amp;RIGHT(MASTER!$J$8,2),A81&amp;B81=MASTER!$M$8&amp;RIGHT(MASTER!$N$8,2)),"Y",0),"Y"),C81)</f>
        <v>0</v>
      </c>
      <c r="L81" s="122">
        <f>IF(A81&amp;B81=MASTER!$I$7&amp;RIGHT(MASTER!$J$7,2),A81,IF(A81&amp;B81=MASTER!$I$8&amp;RIGHT(MASTER!$J$8,2),A81,IF(A81&amp;B81=MASTER!$M$8&amp;RIGHT(MASTER!$N$8,2),A81,0)))</f>
        <v>0</v>
      </c>
      <c r="M81" s="95">
        <f t="shared" si="41"/>
        <v>2</v>
      </c>
      <c r="N81" s="118" t="str">
        <f t="shared" si="42"/>
        <v>Oct</v>
      </c>
      <c r="O81" s="46"/>
    </row>
    <row r="82" spans="1:15" ht="12">
      <c r="A82" s="91" t="s">
        <v>11</v>
      </c>
      <c r="B82" s="92" t="s">
        <v>97</v>
      </c>
      <c r="C82" s="131"/>
      <c r="D82" s="146">
        <f>MIN(IF(K82&lt;&gt;0,IF(MASTER!$A$38=MASTER!$E$5,MASTER!$AD$37+INC1*2,MASTER!$AD$37),1),OBPH1)</f>
        <v>1</v>
      </c>
      <c r="E82" s="146">
        <f t="shared" si="39"/>
        <v>1</v>
      </c>
      <c r="F82" s="142">
        <v>0.01</v>
      </c>
      <c r="G82" s="136">
        <v>1</v>
      </c>
      <c r="H82" s="146">
        <f t="shared" si="40"/>
        <v>1</v>
      </c>
      <c r="I82" s="111">
        <f t="shared" si="37"/>
        <v>0.01</v>
      </c>
      <c r="J82" s="112">
        <f t="shared" si="38"/>
        <v>1</v>
      </c>
      <c r="K82" s="122">
        <f>IF(C82=0,IF(L82=0,IF(OR(A82&amp;B82=MASTER!$I$7&amp;RIGHT(MASTER!$J$7,2),A82&amp;B82=MASTER!$I$8&amp;RIGHT(MASTER!$J$8,2),A82&amp;B82=MASTER!$M$8&amp;RIGHT(MASTER!$N$8,2)),"Y",0),"Y"),C82)</f>
        <v>0</v>
      </c>
      <c r="L82" s="122">
        <f>IF(A82&amp;B82=MASTER!$I$7&amp;RIGHT(MASTER!$J$7,2),A82,IF(A82&amp;B82=MASTER!$I$8&amp;RIGHT(MASTER!$J$8,2),A82,IF(A82&amp;B82=MASTER!$M$8&amp;RIGHT(MASTER!$N$8,2),A82,0)))</f>
        <v>0</v>
      </c>
      <c r="M82" s="95">
        <f t="shared" si="41"/>
        <v>2</v>
      </c>
      <c r="N82" s="118" t="str">
        <f t="shared" si="42"/>
        <v>Oct</v>
      </c>
      <c r="O82" s="46"/>
    </row>
    <row r="83" spans="1:15" ht="12">
      <c r="A83" s="91" t="s">
        <v>12</v>
      </c>
      <c r="B83" s="92" t="s">
        <v>101</v>
      </c>
      <c r="C83" s="131"/>
      <c r="D83" s="146">
        <f>MIN(IF(K83&lt;&gt;0,IF(MASTER!$A$38=MASTER!$E$5,MASTER!$AD$37+INC1*2,MASTER!$AD$37),1),OBPH1)</f>
        <v>1</v>
      </c>
      <c r="E83" s="146">
        <f t="shared" si="39"/>
        <v>1</v>
      </c>
      <c r="F83" s="142">
        <v>0.01</v>
      </c>
      <c r="G83" s="136">
        <v>1</v>
      </c>
      <c r="H83" s="146">
        <f t="shared" si="40"/>
        <v>1</v>
      </c>
      <c r="I83" s="111">
        <f t="shared" si="37"/>
        <v>0.01</v>
      </c>
      <c r="J83" s="112">
        <f t="shared" si="38"/>
        <v>1</v>
      </c>
      <c r="K83" s="122">
        <f>IF(C83=0,IF(L83=0,IF(OR(A83&amp;B83=MASTER!$I$7&amp;RIGHT(MASTER!$J$7,2),A83&amp;B83=MASTER!$I$8&amp;RIGHT(MASTER!$J$8,2),A83&amp;B83=MASTER!$M$8&amp;RIGHT(MASTER!$N$8,2)),"Y",0),"Y"),C83)</f>
        <v>0</v>
      </c>
      <c r="L83" s="122">
        <f>IF(A83&amp;B83=MASTER!$I$7&amp;RIGHT(MASTER!$J$7,2),A83,IF(A83&amp;B83=MASTER!$I$8&amp;RIGHT(MASTER!$J$8,2),A83,IF(A83&amp;B83=MASTER!$M$8&amp;RIGHT(MASTER!$N$8,2),A83,0)))</f>
        <v>0</v>
      </c>
      <c r="M83" s="95">
        <f t="shared" si="41"/>
        <v>2</v>
      </c>
      <c r="N83" s="118" t="str">
        <f t="shared" si="42"/>
        <v>Oct</v>
      </c>
      <c r="O83" s="46"/>
    </row>
    <row r="84" spans="1:15" ht="12">
      <c r="A84" s="91" t="s">
        <v>13</v>
      </c>
      <c r="B84" s="92" t="s">
        <v>101</v>
      </c>
      <c r="C84" s="131"/>
      <c r="D84" s="146">
        <f>MIN(IF(K84&lt;&gt;0,IF(MASTER!$A$38=MASTER!$E$5,MASTER!$AD$37+INC1*2,MASTER!$AD$37),1),OBPH1)</f>
        <v>1</v>
      </c>
      <c r="E84" s="146">
        <f t="shared" si="39"/>
        <v>1</v>
      </c>
      <c r="F84" s="142">
        <v>0.01</v>
      </c>
      <c r="G84" s="136">
        <v>1</v>
      </c>
      <c r="H84" s="146">
        <f t="shared" si="40"/>
        <v>1</v>
      </c>
      <c r="I84" s="111">
        <f t="shared" si="37"/>
        <v>0.01</v>
      </c>
      <c r="J84" s="112">
        <f t="shared" si="38"/>
        <v>1</v>
      </c>
      <c r="K84" s="122">
        <f>IF(C84=0,IF(L84=0,IF(OR(A84&amp;B84=MASTER!$I$7&amp;RIGHT(MASTER!$J$7,2),A84&amp;B84=MASTER!$I$8&amp;RIGHT(MASTER!$J$8,2),A84&amp;B84=MASTER!$M$8&amp;RIGHT(MASTER!$N$8,2)),"Y",0),"Y"),C84)</f>
        <v>0</v>
      </c>
      <c r="L84" s="122">
        <f>IF(A84&amp;B84=MASTER!$I$7&amp;RIGHT(MASTER!$J$7,2),A84,IF(A84&amp;B84=MASTER!$I$8&amp;RIGHT(MASTER!$J$8,2),A84,IF(A84&amp;B84=MASTER!$M$8&amp;RIGHT(MASTER!$N$8,2),A84,0)))</f>
        <v>0</v>
      </c>
      <c r="M84" s="95">
        <f t="shared" si="41"/>
        <v>2</v>
      </c>
      <c r="N84" s="118" t="str">
        <f t="shared" si="42"/>
        <v>Oct</v>
      </c>
      <c r="O84" s="46"/>
    </row>
    <row r="85" spans="1:15" ht="12">
      <c r="A85" s="91" t="s">
        <v>14</v>
      </c>
      <c r="B85" s="92" t="s">
        <v>101</v>
      </c>
      <c r="C85" s="131"/>
      <c r="D85" s="146">
        <f>MIN(IF(K85&lt;&gt;0,IF(MASTER!$A$38=MASTER!$E$5,MASTER!$AD$37+INC1*2,MASTER!$AD$37),1),OBPH1)</f>
        <v>1</v>
      </c>
      <c r="E85" s="146">
        <f t="shared" si="39"/>
        <v>1</v>
      </c>
      <c r="F85" s="142">
        <v>0.01</v>
      </c>
      <c r="G85" s="136">
        <v>1</v>
      </c>
      <c r="H85" s="146">
        <f t="shared" si="40"/>
        <v>1</v>
      </c>
      <c r="I85" s="111">
        <f t="shared" si="37"/>
        <v>0.01</v>
      </c>
      <c r="J85" s="112">
        <f t="shared" si="38"/>
        <v>1</v>
      </c>
      <c r="K85" s="122">
        <f>IF(C85=0,IF(L85=0,IF(OR(A85&amp;B85=MASTER!$I$7&amp;RIGHT(MASTER!$J$7,2),A85&amp;B85=MASTER!$I$8&amp;RIGHT(MASTER!$J$8,2),A85&amp;B85=MASTER!$M$8&amp;RIGHT(MASTER!$N$8,2)),"Y",0),"Y"),C85)</f>
        <v>0</v>
      </c>
      <c r="L85" s="122">
        <f>IF(A85&amp;B85=MASTER!$I$7&amp;RIGHT(MASTER!$J$7,2),A85,IF(A85&amp;B85=MASTER!$I$8&amp;RIGHT(MASTER!$J$8,2),A85,IF(A85&amp;B85=MASTER!$M$8&amp;RIGHT(MASTER!$N$8,2),A85,0)))</f>
        <v>0</v>
      </c>
      <c r="M85" s="95">
        <f t="shared" si="41"/>
        <v>2</v>
      </c>
      <c r="N85" s="118" t="str">
        <f t="shared" si="42"/>
        <v>Oct</v>
      </c>
      <c r="O85" s="46"/>
    </row>
    <row r="86" spans="1:15" ht="12">
      <c r="A86" s="91" t="s">
        <v>15</v>
      </c>
      <c r="B86" s="92" t="s">
        <v>101</v>
      </c>
      <c r="C86" s="131"/>
      <c r="D86" s="146">
        <f>MIN(IF(K86&lt;&gt;0,IF(MASTER!$A$38=MASTER!$E$5,MASTER!$AD$37+INC1*2,MASTER!$AD$37),1),OBPH1)</f>
        <v>1</v>
      </c>
      <c r="E86" s="146">
        <f t="shared" si="39"/>
        <v>1</v>
      </c>
      <c r="F86" s="142">
        <v>0.01</v>
      </c>
      <c r="G86" s="136">
        <v>1</v>
      </c>
      <c r="H86" s="146">
        <f t="shared" si="40"/>
        <v>1</v>
      </c>
      <c r="I86" s="111">
        <f t="shared" si="37"/>
        <v>0.01</v>
      </c>
      <c r="J86" s="112">
        <f t="shared" si="38"/>
        <v>1</v>
      </c>
      <c r="K86" s="122">
        <f>IF(C86=0,IF(L86=0,IF(OR(A86&amp;B86=MASTER!$I$7&amp;RIGHT(MASTER!$J$7,2),A86&amp;B86=MASTER!$I$8&amp;RIGHT(MASTER!$J$8,2),A86&amp;B86=MASTER!$M$8&amp;RIGHT(MASTER!$N$8,2)),"Y",0),"Y"),C86)</f>
        <v>0</v>
      </c>
      <c r="L86" s="122">
        <f>IF(A86&amp;B86=MASTER!$I$7&amp;RIGHT(MASTER!$J$7,2),A86,IF(A86&amp;B86=MASTER!$I$8&amp;RIGHT(MASTER!$J$8,2),A86,IF(A86&amp;B86=MASTER!$M$8&amp;RIGHT(MASTER!$N$8,2),A86,0)))</f>
        <v>0</v>
      </c>
      <c r="M86" s="95">
        <f t="shared" si="41"/>
        <v>2</v>
      </c>
      <c r="N86" s="118" t="str">
        <f t="shared" si="42"/>
        <v>Oct</v>
      </c>
      <c r="O86" s="46"/>
    </row>
    <row r="87" spans="1:15" ht="12">
      <c r="A87" s="91" t="s">
        <v>16</v>
      </c>
      <c r="B87" s="92" t="s">
        <v>101</v>
      </c>
      <c r="C87" s="131"/>
      <c r="D87" s="146">
        <f>MIN(IF(K87&lt;&gt;0,IF(MASTER!$A$38=MASTER!$E$5,MASTER!$AD$37+INC1*2,MASTER!$AD$37),1),OBPH1)</f>
        <v>1</v>
      </c>
      <c r="E87" s="146">
        <f t="shared" si="39"/>
        <v>1</v>
      </c>
      <c r="F87" s="142">
        <v>0.01</v>
      </c>
      <c r="G87" s="136">
        <v>1</v>
      </c>
      <c r="H87" s="146">
        <f t="shared" si="40"/>
        <v>1</v>
      </c>
      <c r="I87" s="111">
        <f t="shared" si="37"/>
        <v>0.01</v>
      </c>
      <c r="J87" s="112">
        <f t="shared" si="38"/>
        <v>1</v>
      </c>
      <c r="K87" s="122">
        <f>IF(C87=0,IF(L87=0,IF(OR(A87&amp;B87=MASTER!$I$7&amp;RIGHT(MASTER!$J$7,2),A87&amp;B87=MASTER!$I$8&amp;RIGHT(MASTER!$J$8,2),A87&amp;B87=MASTER!$M$8&amp;RIGHT(MASTER!$N$8,2)),"Y",0),"Y"),C87)</f>
        <v>0</v>
      </c>
      <c r="L87" s="122">
        <f>IF(A87&amp;B87=MASTER!$I$7&amp;RIGHT(MASTER!$J$7,2),A87,IF(A87&amp;B87=MASTER!$I$8&amp;RIGHT(MASTER!$J$8,2),A87,IF(A87&amp;B87=MASTER!$M$8&amp;RIGHT(MASTER!$N$8,2),A87,0)))</f>
        <v>0</v>
      </c>
      <c r="M87" s="95">
        <f t="shared" si="41"/>
        <v>2</v>
      </c>
      <c r="N87" s="118" t="str">
        <f t="shared" si="42"/>
        <v>Oct</v>
      </c>
      <c r="O87" s="46"/>
    </row>
    <row r="88" spans="1:15" ht="12">
      <c r="A88" s="99" t="s">
        <v>17</v>
      </c>
      <c r="B88" s="100" t="s">
        <v>101</v>
      </c>
      <c r="C88" s="132"/>
      <c r="D88" s="147">
        <f>MIN(IF(K88&lt;&gt;0,IF(MASTER!$A$38=MASTER!$E$5,MASTER!$AD$37+INC1*2,MASTER!$AD$37),1),OBPH1)</f>
        <v>1</v>
      </c>
      <c r="E88" s="147">
        <f t="shared" si="39"/>
        <v>1</v>
      </c>
      <c r="F88" s="143">
        <v>0.01</v>
      </c>
      <c r="G88" s="138">
        <v>1</v>
      </c>
      <c r="H88" s="147">
        <f t="shared" si="40"/>
        <v>1</v>
      </c>
      <c r="I88" s="113">
        <f t="shared" si="37"/>
        <v>0.01</v>
      </c>
      <c r="J88" s="114">
        <f t="shared" si="38"/>
        <v>1</v>
      </c>
      <c r="K88" s="123">
        <f>IF(C88=0,IF(L88=0,IF(OR(A88&amp;B88=MASTER!$I$7&amp;RIGHT(MASTER!$J$7,2),A88&amp;B88=MASTER!$I$8&amp;RIGHT(MASTER!$J$8,2),A88&amp;B88=MASTER!$M$8&amp;RIGHT(MASTER!$N$8,2)),"Y",0),"Y"),C88)</f>
        <v>0</v>
      </c>
      <c r="L88" s="123">
        <f>IF(A88&amp;B88=MASTER!$I$7&amp;RIGHT(MASTER!$J$7,2),A88,IF(A88&amp;B88=MASTER!$I$8&amp;RIGHT(MASTER!$J$8,2),A88,IF(A88&amp;B88=MASTER!$M$8&amp;RIGHT(MASTER!$N$8,2),A88,0)))</f>
        <v>0</v>
      </c>
      <c r="M88" s="103">
        <f t="shared" si="41"/>
        <v>2</v>
      </c>
      <c r="N88" s="118" t="str">
        <f t="shared" si="42"/>
        <v>Oct</v>
      </c>
      <c r="O88" s="46"/>
    </row>
    <row r="89" spans="1:11" ht="6.75" customHeight="1">
      <c r="A89" s="75"/>
      <c r="B89" s="76"/>
      <c r="C89" s="76"/>
      <c r="D89" s="76"/>
      <c r="E89" s="76"/>
      <c r="F89" s="76"/>
      <c r="G89" s="76"/>
      <c r="H89" s="76"/>
      <c r="I89" s="75"/>
      <c r="J89" s="75"/>
      <c r="K89" s="75"/>
    </row>
    <row r="90" spans="1:12" ht="40.5" customHeight="1">
      <c r="A90" s="115" t="s">
        <v>98</v>
      </c>
      <c r="B90" s="242" t="s">
        <v>146</v>
      </c>
      <c r="C90" s="242"/>
      <c r="D90" s="242"/>
      <c r="E90" s="242"/>
      <c r="F90" s="242"/>
      <c r="G90" s="242"/>
      <c r="H90" s="242"/>
      <c r="I90" s="242"/>
      <c r="J90" s="242"/>
      <c r="K90" s="242"/>
      <c r="L90" s="242"/>
    </row>
    <row r="91" spans="1:11" ht="12">
      <c r="A91" s="75"/>
      <c r="B91" s="116"/>
      <c r="C91" s="76"/>
      <c r="D91" s="76"/>
      <c r="E91" s="76"/>
      <c r="F91" s="76"/>
      <c r="G91" s="76"/>
      <c r="H91" s="76"/>
      <c r="I91" s="75"/>
      <c r="J91" s="75"/>
      <c r="K91" s="75"/>
    </row>
  </sheetData>
  <sheetProtection password="C784" sheet="1" selectLockedCells="1"/>
  <mergeCells count="9">
    <mergeCell ref="B90:L90"/>
    <mergeCell ref="E9:F9"/>
    <mergeCell ref="B9:B10"/>
    <mergeCell ref="A9:A10"/>
    <mergeCell ref="M9:M10"/>
    <mergeCell ref="L9:L10"/>
    <mergeCell ref="N9:N10"/>
    <mergeCell ref="K9:K10"/>
    <mergeCell ref="C9:C10"/>
  </mergeCells>
  <printOptions horizontalCentered="1"/>
  <pageMargins left="0.25" right="0.25" top="0.5" bottom="0.5"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X42"/>
  <sheetViews>
    <sheetView zoomScalePageLayoutView="0" workbookViewId="0" topLeftCell="A1">
      <selection activeCell="A13" sqref="A13"/>
    </sheetView>
  </sheetViews>
  <sheetFormatPr defaultColWidth="9.140625" defaultRowHeight="12.75"/>
  <sheetData>
    <row r="1" spans="1:24" ht="12.75">
      <c r="A1" s="1" t="s">
        <v>75</v>
      </c>
      <c r="B1">
        <v>9850</v>
      </c>
      <c r="C1">
        <f>B1+250</f>
        <v>10100</v>
      </c>
      <c r="D1">
        <f aca="true" t="shared" si="0" ref="D1:K1">C1+250</f>
        <v>10350</v>
      </c>
      <c r="E1">
        <f t="shared" si="0"/>
        <v>10600</v>
      </c>
      <c r="F1">
        <f t="shared" si="0"/>
        <v>10850</v>
      </c>
      <c r="G1">
        <f t="shared" si="0"/>
        <v>11100</v>
      </c>
      <c r="H1">
        <f t="shared" si="0"/>
        <v>11350</v>
      </c>
      <c r="I1">
        <f t="shared" si="0"/>
        <v>11600</v>
      </c>
      <c r="J1">
        <f t="shared" si="0"/>
        <v>11850</v>
      </c>
      <c r="K1">
        <f t="shared" si="0"/>
        <v>12100</v>
      </c>
      <c r="L1">
        <f>K1+250</f>
        <v>12350</v>
      </c>
      <c r="M1">
        <f>L1+250</f>
        <v>12600</v>
      </c>
      <c r="N1">
        <f>M1+250</f>
        <v>12850</v>
      </c>
      <c r="O1">
        <f>N1+250</f>
        <v>13100</v>
      </c>
      <c r="P1">
        <f>O1+250</f>
        <v>13350</v>
      </c>
      <c r="Q1">
        <f aca="true" t="shared" si="1" ref="Q1:X1">P1+250</f>
        <v>13600</v>
      </c>
      <c r="R1">
        <f t="shared" si="1"/>
        <v>13850</v>
      </c>
      <c r="S1">
        <f t="shared" si="1"/>
        <v>14100</v>
      </c>
      <c r="T1">
        <f t="shared" si="1"/>
        <v>14350</v>
      </c>
      <c r="U1">
        <f t="shared" si="1"/>
        <v>14600</v>
      </c>
      <c r="V1">
        <f t="shared" si="1"/>
        <v>14850</v>
      </c>
      <c r="W1">
        <f t="shared" si="1"/>
        <v>15100</v>
      </c>
      <c r="X1">
        <f t="shared" si="1"/>
        <v>15350</v>
      </c>
    </row>
    <row r="2" spans="1:23" ht="12.75">
      <c r="A2" s="1" t="s">
        <v>76</v>
      </c>
      <c r="B2">
        <v>11875</v>
      </c>
      <c r="C2">
        <f>B2+300</f>
        <v>12175</v>
      </c>
      <c r="D2">
        <f aca="true" t="shared" si="2" ref="D2:K2">C2+300</f>
        <v>12475</v>
      </c>
      <c r="E2">
        <f t="shared" si="2"/>
        <v>12775</v>
      </c>
      <c r="F2">
        <f t="shared" si="2"/>
        <v>13075</v>
      </c>
      <c r="G2">
        <f t="shared" si="2"/>
        <v>13375</v>
      </c>
      <c r="H2">
        <f t="shared" si="2"/>
        <v>13675</v>
      </c>
      <c r="I2">
        <f t="shared" si="2"/>
        <v>13975</v>
      </c>
      <c r="J2">
        <f t="shared" si="2"/>
        <v>14275</v>
      </c>
      <c r="K2">
        <f t="shared" si="2"/>
        <v>14575</v>
      </c>
      <c r="L2">
        <f>K2+300</f>
        <v>14875</v>
      </c>
      <c r="M2">
        <f>L2+300</f>
        <v>15175</v>
      </c>
      <c r="N2">
        <f>M2+300</f>
        <v>15475</v>
      </c>
      <c r="O2">
        <f>N2+300</f>
        <v>15775</v>
      </c>
      <c r="P2">
        <f>O2+300</f>
        <v>16075</v>
      </c>
      <c r="Q2">
        <f aca="true" t="shared" si="3" ref="Q2:W2">P2+300</f>
        <v>16375</v>
      </c>
      <c r="R2">
        <f t="shared" si="3"/>
        <v>16675</v>
      </c>
      <c r="S2">
        <f t="shared" si="3"/>
        <v>16975</v>
      </c>
      <c r="T2">
        <f t="shared" si="3"/>
        <v>17275</v>
      </c>
      <c r="U2">
        <f t="shared" si="3"/>
        <v>17575</v>
      </c>
      <c r="V2">
        <f t="shared" si="3"/>
        <v>17875</v>
      </c>
      <c r="W2">
        <f t="shared" si="3"/>
        <v>18175</v>
      </c>
    </row>
    <row r="3" spans="1:20" ht="12.75">
      <c r="A3" s="1" t="s">
        <v>77</v>
      </c>
      <c r="B3">
        <v>13000</v>
      </c>
      <c r="C3">
        <f>B3+350</f>
        <v>13350</v>
      </c>
      <c r="D3">
        <f aca="true" t="shared" si="4" ref="D3:T4">C3+350</f>
        <v>13700</v>
      </c>
      <c r="E3">
        <f t="shared" si="4"/>
        <v>14050</v>
      </c>
      <c r="F3">
        <f t="shared" si="4"/>
        <v>14400</v>
      </c>
      <c r="G3">
        <f t="shared" si="4"/>
        <v>14750</v>
      </c>
      <c r="H3">
        <f t="shared" si="4"/>
        <v>15100</v>
      </c>
      <c r="I3">
        <f t="shared" si="4"/>
        <v>15450</v>
      </c>
      <c r="J3">
        <f t="shared" si="4"/>
        <v>15800</v>
      </c>
      <c r="K3">
        <f t="shared" si="4"/>
        <v>16150</v>
      </c>
      <c r="L3">
        <f t="shared" si="4"/>
        <v>16500</v>
      </c>
      <c r="M3">
        <f t="shared" si="4"/>
        <v>16850</v>
      </c>
      <c r="N3">
        <f t="shared" si="4"/>
        <v>17200</v>
      </c>
      <c r="O3">
        <f t="shared" si="4"/>
        <v>17550</v>
      </c>
      <c r="P3">
        <f t="shared" si="4"/>
        <v>17900</v>
      </c>
      <c r="Q3">
        <f t="shared" si="4"/>
        <v>18250</v>
      </c>
      <c r="R3">
        <f t="shared" si="4"/>
        <v>18600</v>
      </c>
      <c r="S3">
        <f t="shared" si="4"/>
        <v>18950</v>
      </c>
      <c r="T3">
        <f t="shared" si="4"/>
        <v>19300</v>
      </c>
    </row>
    <row r="4" spans="1:17" ht="12.75">
      <c r="A4" s="1" t="s">
        <v>78</v>
      </c>
      <c r="B4">
        <v>14500</v>
      </c>
      <c r="C4">
        <f>B4+350</f>
        <v>14850</v>
      </c>
      <c r="D4">
        <f t="shared" si="4"/>
        <v>15200</v>
      </c>
      <c r="E4">
        <f t="shared" si="4"/>
        <v>15550</v>
      </c>
      <c r="F4">
        <f t="shared" si="4"/>
        <v>15900</v>
      </c>
      <c r="G4">
        <f t="shared" si="4"/>
        <v>16250</v>
      </c>
      <c r="H4">
        <f t="shared" si="4"/>
        <v>16600</v>
      </c>
      <c r="I4">
        <f t="shared" si="4"/>
        <v>16950</v>
      </c>
      <c r="J4">
        <f t="shared" si="4"/>
        <v>17300</v>
      </c>
      <c r="K4">
        <f t="shared" si="4"/>
        <v>17650</v>
      </c>
      <c r="L4">
        <f aca="true" t="shared" si="5" ref="L4:Q4">K4+350</f>
        <v>18000</v>
      </c>
      <c r="M4">
        <f t="shared" si="5"/>
        <v>18350</v>
      </c>
      <c r="N4">
        <f t="shared" si="5"/>
        <v>18700</v>
      </c>
      <c r="O4">
        <f t="shared" si="5"/>
        <v>19050</v>
      </c>
      <c r="P4">
        <f t="shared" si="5"/>
        <v>19400</v>
      </c>
      <c r="Q4">
        <f t="shared" si="5"/>
        <v>19750</v>
      </c>
    </row>
    <row r="5" spans="1:17" ht="12.75">
      <c r="A5" s="1" t="s">
        <v>79</v>
      </c>
      <c r="B5">
        <v>16000</v>
      </c>
      <c r="C5">
        <f>B5+400</f>
        <v>16400</v>
      </c>
      <c r="D5">
        <f aca="true" t="shared" si="6" ref="D5:K6">C5+400</f>
        <v>16800</v>
      </c>
      <c r="E5">
        <f t="shared" si="6"/>
        <v>17200</v>
      </c>
      <c r="F5">
        <f t="shared" si="6"/>
        <v>17600</v>
      </c>
      <c r="G5">
        <f t="shared" si="6"/>
        <v>18000</v>
      </c>
      <c r="H5">
        <f t="shared" si="6"/>
        <v>18400</v>
      </c>
      <c r="I5">
        <f t="shared" si="6"/>
        <v>18800</v>
      </c>
      <c r="J5">
        <f t="shared" si="6"/>
        <v>19200</v>
      </c>
      <c r="K5">
        <f t="shared" si="6"/>
        <v>19600</v>
      </c>
      <c r="L5">
        <f aca="true" t="shared" si="7" ref="L5:Q6">K5+400</f>
        <v>20000</v>
      </c>
      <c r="M5">
        <f t="shared" si="7"/>
        <v>20400</v>
      </c>
      <c r="N5">
        <f t="shared" si="7"/>
        <v>20800</v>
      </c>
      <c r="O5">
        <f t="shared" si="7"/>
        <v>21200</v>
      </c>
      <c r="P5">
        <f t="shared" si="7"/>
        <v>21600</v>
      </c>
      <c r="Q5">
        <f t="shared" si="7"/>
        <v>22000</v>
      </c>
    </row>
    <row r="6" spans="1:17" ht="12.75">
      <c r="A6" s="1" t="s">
        <v>80</v>
      </c>
      <c r="B6">
        <v>17500</v>
      </c>
      <c r="C6">
        <f>B6+400</f>
        <v>17900</v>
      </c>
      <c r="D6">
        <f>C6+400</f>
        <v>18300</v>
      </c>
      <c r="E6">
        <f t="shared" si="6"/>
        <v>18700</v>
      </c>
      <c r="F6">
        <f t="shared" si="6"/>
        <v>19100</v>
      </c>
      <c r="G6">
        <f t="shared" si="6"/>
        <v>19500</v>
      </c>
      <c r="H6">
        <f t="shared" si="6"/>
        <v>19900</v>
      </c>
      <c r="I6">
        <f t="shared" si="6"/>
        <v>20300</v>
      </c>
      <c r="J6">
        <f t="shared" si="6"/>
        <v>20700</v>
      </c>
      <c r="K6">
        <f t="shared" si="6"/>
        <v>21100</v>
      </c>
      <c r="L6">
        <f t="shared" si="7"/>
        <v>21500</v>
      </c>
      <c r="M6">
        <f t="shared" si="7"/>
        <v>21900</v>
      </c>
      <c r="N6">
        <f t="shared" si="7"/>
        <v>22300</v>
      </c>
      <c r="O6">
        <f t="shared" si="7"/>
        <v>22700</v>
      </c>
      <c r="P6">
        <f t="shared" si="7"/>
        <v>23100</v>
      </c>
      <c r="Q6">
        <f t="shared" si="7"/>
        <v>23500</v>
      </c>
    </row>
    <row r="7" spans="1:17" ht="12.75">
      <c r="A7" s="2" t="s">
        <v>81</v>
      </c>
      <c r="B7">
        <v>18500</v>
      </c>
      <c r="C7">
        <f>B7+450</f>
        <v>18950</v>
      </c>
      <c r="D7">
        <f>C7+450</f>
        <v>19400</v>
      </c>
      <c r="E7">
        <f aca="true" t="shared" si="8" ref="E7:Q7">D7+450</f>
        <v>19850</v>
      </c>
      <c r="F7">
        <f t="shared" si="8"/>
        <v>20300</v>
      </c>
      <c r="G7">
        <f t="shared" si="8"/>
        <v>20750</v>
      </c>
      <c r="H7">
        <f t="shared" si="8"/>
        <v>21200</v>
      </c>
      <c r="I7">
        <f t="shared" si="8"/>
        <v>21650</v>
      </c>
      <c r="J7">
        <f t="shared" si="8"/>
        <v>22100</v>
      </c>
      <c r="K7">
        <f t="shared" si="8"/>
        <v>22550</v>
      </c>
      <c r="L7">
        <f t="shared" si="8"/>
        <v>23000</v>
      </c>
      <c r="M7">
        <f t="shared" si="8"/>
        <v>23450</v>
      </c>
      <c r="N7">
        <f t="shared" si="8"/>
        <v>23900</v>
      </c>
      <c r="O7">
        <f t="shared" si="8"/>
        <v>24350</v>
      </c>
      <c r="P7">
        <f t="shared" si="8"/>
        <v>24800</v>
      </c>
      <c r="Q7">
        <f t="shared" si="8"/>
        <v>25250</v>
      </c>
    </row>
    <row r="8" spans="1:13" ht="12.75">
      <c r="A8" s="2" t="s">
        <v>82</v>
      </c>
      <c r="B8">
        <v>23750</v>
      </c>
      <c r="C8">
        <f>B8+600</f>
        <v>24350</v>
      </c>
      <c r="D8">
        <f>C8+600</f>
        <v>24950</v>
      </c>
      <c r="E8">
        <f aca="true" t="shared" si="9" ref="E8:M8">D8+600</f>
        <v>25550</v>
      </c>
      <c r="F8">
        <f t="shared" si="9"/>
        <v>26150</v>
      </c>
      <c r="G8">
        <f t="shared" si="9"/>
        <v>26750</v>
      </c>
      <c r="H8">
        <f t="shared" si="9"/>
        <v>27350</v>
      </c>
      <c r="I8">
        <f t="shared" si="9"/>
        <v>27950</v>
      </c>
      <c r="J8">
        <f t="shared" si="9"/>
        <v>28550</v>
      </c>
      <c r="K8">
        <f t="shared" si="9"/>
        <v>29150</v>
      </c>
      <c r="L8">
        <f t="shared" si="9"/>
        <v>29750</v>
      </c>
      <c r="M8">
        <f t="shared" si="9"/>
        <v>30350</v>
      </c>
    </row>
    <row r="9" spans="1:13" ht="12.75">
      <c r="A9" s="2" t="s">
        <v>83</v>
      </c>
      <c r="B9">
        <v>25000</v>
      </c>
      <c r="C9">
        <f>B9+650</f>
        <v>25650</v>
      </c>
      <c r="D9">
        <f aca="true" t="shared" si="10" ref="D9:M9">C9+650</f>
        <v>26300</v>
      </c>
      <c r="E9">
        <f t="shared" si="10"/>
        <v>26950</v>
      </c>
      <c r="F9">
        <f t="shared" si="10"/>
        <v>27600</v>
      </c>
      <c r="G9">
        <f t="shared" si="10"/>
        <v>28250</v>
      </c>
      <c r="H9">
        <f t="shared" si="10"/>
        <v>28900</v>
      </c>
      <c r="I9">
        <f t="shared" si="10"/>
        <v>29550</v>
      </c>
      <c r="J9">
        <f t="shared" si="10"/>
        <v>30200</v>
      </c>
      <c r="K9">
        <f t="shared" si="10"/>
        <v>30850</v>
      </c>
      <c r="L9">
        <f t="shared" si="10"/>
        <v>31500</v>
      </c>
      <c r="M9">
        <f t="shared" si="10"/>
        <v>32150</v>
      </c>
    </row>
    <row r="10" spans="1:13" ht="12.75">
      <c r="A10" s="2" t="s">
        <v>84</v>
      </c>
      <c r="B10">
        <v>25750</v>
      </c>
      <c r="C10">
        <f>B10+650</f>
        <v>26400</v>
      </c>
      <c r="D10">
        <f aca="true" t="shared" si="11" ref="D10:M10">C10+650</f>
        <v>27050</v>
      </c>
      <c r="E10">
        <f t="shared" si="11"/>
        <v>27700</v>
      </c>
      <c r="F10">
        <f t="shared" si="11"/>
        <v>28350</v>
      </c>
      <c r="G10">
        <f t="shared" si="11"/>
        <v>29000</v>
      </c>
      <c r="H10">
        <f t="shared" si="11"/>
        <v>29650</v>
      </c>
      <c r="I10">
        <f t="shared" si="11"/>
        <v>30300</v>
      </c>
      <c r="J10">
        <f t="shared" si="11"/>
        <v>30950</v>
      </c>
      <c r="K10">
        <f t="shared" si="11"/>
        <v>31600</v>
      </c>
      <c r="L10">
        <f t="shared" si="11"/>
        <v>32250</v>
      </c>
      <c r="M10">
        <f t="shared" si="11"/>
        <v>32900</v>
      </c>
    </row>
    <row r="11" spans="1:10" ht="12.75">
      <c r="A11" s="2" t="s">
        <v>85</v>
      </c>
      <c r="B11">
        <v>27750</v>
      </c>
      <c r="C11">
        <f>B11+750</f>
        <v>28500</v>
      </c>
      <c r="D11">
        <f aca="true" t="shared" si="12" ref="D11:J11">C11+750</f>
        <v>29250</v>
      </c>
      <c r="E11">
        <f t="shared" si="12"/>
        <v>30000</v>
      </c>
      <c r="F11">
        <f t="shared" si="12"/>
        <v>30750</v>
      </c>
      <c r="G11">
        <f t="shared" si="12"/>
        <v>31500</v>
      </c>
      <c r="H11">
        <f t="shared" si="12"/>
        <v>32250</v>
      </c>
      <c r="I11">
        <f t="shared" si="12"/>
        <v>33000</v>
      </c>
      <c r="J11">
        <f t="shared" si="12"/>
        <v>33750</v>
      </c>
    </row>
    <row r="13" spans="1:7" ht="12.75">
      <c r="A13" t="s">
        <v>87</v>
      </c>
      <c r="B13" t="s">
        <v>88</v>
      </c>
      <c r="C13" t="s">
        <v>92</v>
      </c>
      <c r="D13" t="s">
        <v>93</v>
      </c>
      <c r="E13" t="s">
        <v>94</v>
      </c>
      <c r="F13" t="s">
        <v>89</v>
      </c>
      <c r="G13" t="s">
        <v>86</v>
      </c>
    </row>
    <row r="20" spans="1:13" ht="12.75">
      <c r="A20">
        <v>9850</v>
      </c>
      <c r="B20">
        <v>11875</v>
      </c>
      <c r="C20">
        <v>13000</v>
      </c>
      <c r="D20">
        <v>14500</v>
      </c>
      <c r="E20">
        <v>16000</v>
      </c>
      <c r="F20">
        <v>17500</v>
      </c>
      <c r="G20">
        <v>18500</v>
      </c>
      <c r="H20">
        <v>23750</v>
      </c>
      <c r="I20">
        <v>25000</v>
      </c>
      <c r="J20">
        <v>25750</v>
      </c>
      <c r="K20">
        <v>27750</v>
      </c>
      <c r="M20" t="s">
        <v>88</v>
      </c>
    </row>
    <row r="21" spans="1:13" ht="12.75">
      <c r="A21">
        <v>10100</v>
      </c>
      <c r="B21">
        <v>12175</v>
      </c>
      <c r="C21">
        <v>13350</v>
      </c>
      <c r="D21">
        <v>14850</v>
      </c>
      <c r="E21">
        <v>16400</v>
      </c>
      <c r="F21">
        <v>17900</v>
      </c>
      <c r="G21">
        <v>18950</v>
      </c>
      <c r="H21">
        <v>24350</v>
      </c>
      <c r="I21">
        <v>25650</v>
      </c>
      <c r="J21">
        <v>26400</v>
      </c>
      <c r="K21">
        <v>28500</v>
      </c>
      <c r="M21" t="s">
        <v>92</v>
      </c>
    </row>
    <row r="22" spans="1:13" ht="12.75">
      <c r="A22">
        <v>10350</v>
      </c>
      <c r="B22">
        <v>12475</v>
      </c>
      <c r="C22">
        <v>13700</v>
      </c>
      <c r="D22">
        <v>15200</v>
      </c>
      <c r="E22">
        <v>16800</v>
      </c>
      <c r="F22">
        <v>18300</v>
      </c>
      <c r="G22">
        <v>19400</v>
      </c>
      <c r="H22">
        <v>24950</v>
      </c>
      <c r="I22">
        <v>26300</v>
      </c>
      <c r="J22">
        <v>27050</v>
      </c>
      <c r="K22">
        <v>29250</v>
      </c>
      <c r="M22" t="s">
        <v>93</v>
      </c>
    </row>
    <row r="23" spans="1:13" ht="12.75">
      <c r="A23">
        <v>10600</v>
      </c>
      <c r="B23">
        <v>12775</v>
      </c>
      <c r="C23">
        <v>14050</v>
      </c>
      <c r="D23">
        <v>15550</v>
      </c>
      <c r="E23">
        <v>17200</v>
      </c>
      <c r="F23">
        <v>18700</v>
      </c>
      <c r="G23">
        <v>19850</v>
      </c>
      <c r="H23">
        <v>25550</v>
      </c>
      <c r="I23">
        <v>26950</v>
      </c>
      <c r="J23">
        <v>27700</v>
      </c>
      <c r="K23">
        <v>30000</v>
      </c>
      <c r="M23" t="s">
        <v>94</v>
      </c>
    </row>
    <row r="24" spans="1:13" ht="12.75">
      <c r="A24">
        <v>10850</v>
      </c>
      <c r="B24">
        <v>13075</v>
      </c>
      <c r="C24">
        <v>14400</v>
      </c>
      <c r="D24">
        <v>15900</v>
      </c>
      <c r="E24">
        <v>17600</v>
      </c>
      <c r="F24">
        <v>19100</v>
      </c>
      <c r="G24">
        <v>20300</v>
      </c>
      <c r="H24">
        <v>26150</v>
      </c>
      <c r="I24">
        <v>27600</v>
      </c>
      <c r="J24">
        <v>28350</v>
      </c>
      <c r="K24">
        <v>30750</v>
      </c>
      <c r="M24" t="s">
        <v>89</v>
      </c>
    </row>
    <row r="25" spans="1:13" ht="12.75">
      <c r="A25">
        <v>11100</v>
      </c>
      <c r="B25">
        <v>13375</v>
      </c>
      <c r="C25">
        <v>14750</v>
      </c>
      <c r="D25">
        <v>16250</v>
      </c>
      <c r="E25">
        <v>18000</v>
      </c>
      <c r="F25">
        <v>19500</v>
      </c>
      <c r="G25">
        <v>20750</v>
      </c>
      <c r="H25">
        <v>26750</v>
      </c>
      <c r="I25">
        <v>28250</v>
      </c>
      <c r="J25">
        <v>29000</v>
      </c>
      <c r="K25">
        <v>31500</v>
      </c>
      <c r="M25" t="s">
        <v>86</v>
      </c>
    </row>
    <row r="26" spans="1:11" ht="12.75">
      <c r="A26">
        <v>11350</v>
      </c>
      <c r="B26">
        <v>13675</v>
      </c>
      <c r="C26">
        <v>15100</v>
      </c>
      <c r="D26">
        <v>16600</v>
      </c>
      <c r="E26">
        <v>18400</v>
      </c>
      <c r="F26">
        <v>19900</v>
      </c>
      <c r="G26">
        <v>21200</v>
      </c>
      <c r="H26">
        <v>27350</v>
      </c>
      <c r="I26">
        <v>28900</v>
      </c>
      <c r="J26">
        <v>29650</v>
      </c>
      <c r="K26">
        <v>32250</v>
      </c>
    </row>
    <row r="27" spans="1:11" ht="12.75">
      <c r="A27">
        <v>11600</v>
      </c>
      <c r="B27">
        <v>13975</v>
      </c>
      <c r="C27">
        <v>15450</v>
      </c>
      <c r="D27">
        <v>16950</v>
      </c>
      <c r="E27">
        <v>18800</v>
      </c>
      <c r="F27">
        <v>20300</v>
      </c>
      <c r="G27">
        <v>21650</v>
      </c>
      <c r="H27">
        <v>27950</v>
      </c>
      <c r="I27">
        <v>29550</v>
      </c>
      <c r="J27">
        <v>30300</v>
      </c>
      <c r="K27">
        <v>33000</v>
      </c>
    </row>
    <row r="28" spans="1:11" ht="12.75">
      <c r="A28">
        <v>11850</v>
      </c>
      <c r="B28">
        <v>14275</v>
      </c>
      <c r="C28">
        <v>15800</v>
      </c>
      <c r="D28">
        <v>17300</v>
      </c>
      <c r="E28">
        <v>19200</v>
      </c>
      <c r="F28">
        <v>20700</v>
      </c>
      <c r="G28">
        <v>22100</v>
      </c>
      <c r="H28">
        <v>28550</v>
      </c>
      <c r="I28">
        <v>30200</v>
      </c>
      <c r="J28">
        <v>30950</v>
      </c>
      <c r="K28">
        <v>33750</v>
      </c>
    </row>
    <row r="29" spans="1:10" ht="12.75">
      <c r="A29">
        <v>12100</v>
      </c>
      <c r="B29">
        <v>14575</v>
      </c>
      <c r="C29">
        <v>16150</v>
      </c>
      <c r="D29">
        <v>17650</v>
      </c>
      <c r="E29">
        <v>19600</v>
      </c>
      <c r="F29">
        <v>21100</v>
      </c>
      <c r="G29">
        <v>22550</v>
      </c>
      <c r="H29">
        <v>29150</v>
      </c>
      <c r="I29">
        <v>30850</v>
      </c>
      <c r="J29">
        <v>31600</v>
      </c>
    </row>
    <row r="30" spans="1:10" ht="12.75">
      <c r="A30">
        <v>12350</v>
      </c>
      <c r="B30">
        <v>14875</v>
      </c>
      <c r="C30">
        <v>16500</v>
      </c>
      <c r="D30">
        <v>18000</v>
      </c>
      <c r="E30">
        <v>20000</v>
      </c>
      <c r="F30">
        <v>21500</v>
      </c>
      <c r="G30">
        <v>23000</v>
      </c>
      <c r="H30">
        <v>29750</v>
      </c>
      <c r="I30">
        <v>31500</v>
      </c>
      <c r="J30">
        <v>32250</v>
      </c>
    </row>
    <row r="31" spans="1:10" ht="12.75">
      <c r="A31">
        <v>12600</v>
      </c>
      <c r="B31">
        <v>15175</v>
      </c>
      <c r="C31">
        <v>16850</v>
      </c>
      <c r="D31">
        <v>18350</v>
      </c>
      <c r="E31">
        <v>20400</v>
      </c>
      <c r="F31">
        <v>21900</v>
      </c>
      <c r="G31">
        <v>23450</v>
      </c>
      <c r="H31">
        <v>30350</v>
      </c>
      <c r="I31">
        <v>32150</v>
      </c>
      <c r="J31">
        <v>32900</v>
      </c>
    </row>
    <row r="32" spans="1:7" ht="12.75">
      <c r="A32">
        <v>12850</v>
      </c>
      <c r="B32">
        <v>15475</v>
      </c>
      <c r="C32">
        <v>17200</v>
      </c>
      <c r="D32">
        <v>18700</v>
      </c>
      <c r="E32">
        <v>20800</v>
      </c>
      <c r="F32">
        <v>22300</v>
      </c>
      <c r="G32">
        <v>23900</v>
      </c>
    </row>
    <row r="33" spans="1:7" ht="12.75">
      <c r="A33">
        <v>13100</v>
      </c>
      <c r="B33">
        <v>15775</v>
      </c>
      <c r="C33">
        <v>17550</v>
      </c>
      <c r="D33">
        <v>19050</v>
      </c>
      <c r="E33">
        <v>21200</v>
      </c>
      <c r="F33">
        <v>22700</v>
      </c>
      <c r="G33">
        <v>24350</v>
      </c>
    </row>
    <row r="34" spans="1:7" ht="12.75">
      <c r="A34">
        <v>13350</v>
      </c>
      <c r="B34">
        <v>16075</v>
      </c>
      <c r="C34">
        <v>17900</v>
      </c>
      <c r="D34">
        <v>19400</v>
      </c>
      <c r="E34">
        <v>21600</v>
      </c>
      <c r="F34">
        <v>23100</v>
      </c>
      <c r="G34">
        <v>24800</v>
      </c>
    </row>
    <row r="35" spans="1:7" ht="12.75">
      <c r="A35">
        <v>13600</v>
      </c>
      <c r="B35">
        <v>16375</v>
      </c>
      <c r="C35">
        <v>18250</v>
      </c>
      <c r="D35">
        <v>19750</v>
      </c>
      <c r="E35">
        <v>22000</v>
      </c>
      <c r="F35">
        <v>23500</v>
      </c>
      <c r="G35">
        <v>25250</v>
      </c>
    </row>
    <row r="36" spans="1:3" ht="12.75">
      <c r="A36">
        <v>13850</v>
      </c>
      <c r="B36">
        <v>16675</v>
      </c>
      <c r="C36">
        <v>18600</v>
      </c>
    </row>
    <row r="37" spans="1:3" ht="12.75">
      <c r="A37">
        <v>14100</v>
      </c>
      <c r="B37">
        <v>16975</v>
      </c>
      <c r="C37">
        <v>18950</v>
      </c>
    </row>
    <row r="38" spans="1:3" ht="12.75">
      <c r="A38">
        <v>14350</v>
      </c>
      <c r="B38">
        <v>17275</v>
      </c>
      <c r="C38">
        <v>19300</v>
      </c>
    </row>
    <row r="39" spans="1:2" ht="12.75">
      <c r="A39">
        <v>14600</v>
      </c>
      <c r="B39">
        <v>17575</v>
      </c>
    </row>
    <row r="40" spans="1:2" ht="12.75">
      <c r="A40">
        <v>14850</v>
      </c>
      <c r="B40">
        <v>17875</v>
      </c>
    </row>
    <row r="41" spans="1:2" ht="12.75">
      <c r="A41">
        <v>15100</v>
      </c>
      <c r="B41">
        <v>18175</v>
      </c>
    </row>
    <row r="42" ht="12.75">
      <c r="A42">
        <v>15350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MadHouse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mkm</dc:creator>
  <cp:keywords/>
  <dc:description/>
  <cp:lastModifiedBy>user</cp:lastModifiedBy>
  <cp:lastPrinted>2016-08-17T18:43:59Z</cp:lastPrinted>
  <dcterms:created xsi:type="dcterms:W3CDTF">2007-02-18T14:46:51Z</dcterms:created>
  <dcterms:modified xsi:type="dcterms:W3CDTF">2017-02-04T07:49:20Z</dcterms:modified>
  <cp:category/>
  <cp:version/>
  <cp:contentType/>
  <cp:contentStatus/>
</cp:coreProperties>
</file>